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_rels/sheet12.xml.rels" ContentType="application/vnd.openxmlformats-package.relationships+xml"/>
  <Override PartName="/xl/worksheets/_rels/sheet7.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ORTADA" sheetId="1" state="visible" r:id="rId3"/>
    <sheet name="CONCENTRADO" sheetId="2" state="visible" r:id="rId4"/>
    <sheet name="SAT_VISOR_TOTAL" sheetId="3" state="visible" r:id="rId5"/>
    <sheet name="SAT_PATRON_DEMO_UNO" sheetId="4" state="visible" r:id="rId6"/>
    <sheet name="SAT_PATRON_DEMO_DOS" sheetId="5" state="visible" r:id="rId7"/>
    <sheet name="SAT_DETALLE_MENSUAL" sheetId="6" state="visible" r:id="rId8"/>
    <sheet name="CORRELACION_BANCARIA" sheetId="7" state="visible" r:id="rId9"/>
    <sheet name="INTERESES" sheetId="8" state="visible" r:id="rId10"/>
    <sheet name="TOPES_FISCALES" sheetId="9" state="visible" r:id="rId11"/>
    <sheet name="CONFRONTA_CONTRIB_SAT" sheetId="10" state="visible" r:id="rId12"/>
    <sheet name="DEDUCCIONES PERSONALES" sheetId="11" state="visible" r:id="rId13"/>
    <sheet name="OBSERVACIONES_FISCALES" sheetId="12" state="visible" r:id="rId14"/>
    <sheet name="VERIFICAR" sheetId="13" state="visible" r:id="rId15"/>
    <sheet name="RESUMEN" sheetId="14" state="visible" r:id="rId16"/>
  </sheets>
  <definedNames>
    <definedName function="false" hidden="true" localSheetId="1" name="_xlnm._FilterDatabase" vbProcedure="false">CONCENTRADO!$A$6:$AV$6</definedName>
    <definedName function="false" hidden="true" localSheetId="6" name="_xlnm._FilterDatabase" vbProcedure="false">CORRELACION_BANCARIA!$A$3:$J$55</definedName>
    <definedName function="false" hidden="true" localSheetId="10" name="_xlnm._FilterDatabase" vbProcedure="false">'DEDUCCIONES PERSONALES'!$A$3:$Q$9</definedName>
    <definedName function="false" hidden="true" localSheetId="11" name="_xlnm._FilterDatabase" vbProcedure="false">OBSERVACIONES_FISCALES!$A$2:$G$5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<sst xmlns="http://schemas.openxmlformats.org/spreadsheetml/2006/main" count="1503" uniqueCount="564">
  <si>
    <t xml:space="preserve">PAPEL DE TRABAJO - DECLARACIÓN ANUAL PERSONAS FÍSICAS</t>
  </si>
  <si>
    <t xml:space="preserve">  DATOS DEL CONTRIBUYENTE</t>
  </si>
  <si>
    <t xml:space="preserve">CONTRIBUYENTE:</t>
  </si>
  <si>
    <t xml:space="preserve">JUAN PEREZ DEMO</t>
  </si>
  <si>
    <t xml:space="preserve">RFC:</t>
  </si>
  <si>
    <t xml:space="preserve">XAXX010101AA1</t>
  </si>
  <si>
    <t xml:space="preserve">EJERCICIO FISCAL:</t>
  </si>
  <si>
    <t xml:space="preserve">2025</t>
  </si>
  <si>
    <t xml:space="preserve">  RESUMEN DE INGRESOS POR SUELDOS Y SALARIOS</t>
  </si>
  <si>
    <t xml:space="preserve">INGRESOS TOTALES:</t>
  </si>
  <si>
    <t xml:space="preserve">(+) INGRESOS GRAVADOS:</t>
  </si>
  <si>
    <t xml:space="preserve">(+) INGRESOS EXENTOS:</t>
  </si>
  <si>
    <t xml:space="preserve">(-) ISR RETENIDO:</t>
  </si>
  <si>
    <t xml:space="preserve">  DEDUCCIONES PERSONALES</t>
  </si>
  <si>
    <t xml:space="preserve">MONTO TOTAL FACTURADO:</t>
  </si>
  <si>
    <t xml:space="preserve">  PATRONES DETECTADOS</t>
  </si>
  <si>
    <t xml:space="preserve">• EMPRESA PATRONAL DEMO UNO</t>
  </si>
  <si>
    <t xml:space="preserve">• EMPRESA PATRONAL DEMO DOS</t>
  </si>
  <si>
    <t xml:space="preserve">  ÚLTIMO SUELDO MENSUAL ORDINARIO POR PATRÓN</t>
  </si>
  <si>
    <t xml:space="preserve">Información de referencia para casos hipotéticos de separación, indemnización o jubilación (Art. 95 LISR).</t>
  </si>
  <si>
    <t xml:space="preserve">  EMPRESA PATRONAL DEMO UNO  (EPU010101AA2)</t>
  </si>
  <si>
    <t xml:space="preserve">USMO</t>
  </si>
  <si>
    <t xml:space="preserve">Fuente</t>
  </si>
  <si>
    <t xml:space="preserve">Calculado del último recibo de nómina ordinaria del año</t>
  </si>
  <si>
    <t xml:space="preserve">Detalle</t>
  </si>
  <si>
    <t xml:space="preserve">$942.91/día × 30 (último mes con datos: 2025-12, 2 recibo(s), 31.000 días)</t>
  </si>
  <si>
    <t xml:space="preserve">Confianza</t>
  </si>
  <si>
    <t xml:space="preserve">★★★★☆  (4/5)</t>
  </si>
  <si>
    <t xml:space="preserve">  EMPRESA PATRONAL DEMO DOS  (EPD010101AA3)</t>
  </si>
  <si>
    <t xml:space="preserve">Calculado como Salario Base de Cotización × 30 días</t>
  </si>
  <si>
    <t xml:space="preserve">SBC $261.20/día × 30 días</t>
  </si>
  <si>
    <t xml:space="preserve">★★★☆☆  (3/5)</t>
  </si>
  <si>
    <t xml:space="preserve">  GLOSARIO DE TÉRMINOS</t>
  </si>
  <si>
    <t xml:space="preserve">Último Sueldo Mensual Ordinario. Es el último sueldo mensual que percibió el trabajador antes de la separación. Se utiliza en el cálculo de indemnización conforme al Art. 95 LISR.</t>
  </si>
  <si>
    <t xml:space="preserve">SBC</t>
  </si>
  <si>
    <t xml:space="preserve">Salario Base de Cotización. Sueldo registrado ante el IMSS que sirve de base para calcular cuotas de seguridad social.</t>
  </si>
  <si>
    <t xml:space="preserve">SDI</t>
  </si>
  <si>
    <t xml:space="preserve">Salario Diario Integrado. SBC ajustado con el factor de integración (mínimo 1.0452) que considera prestaciones como aguinaldo y prima vacacional.</t>
  </si>
  <si>
    <t xml:space="preserve">CFDI</t>
  </si>
  <si>
    <t xml:space="preserve">Comprobante Fiscal Digital por Internet. Factura electrónica requerida por el SAT.</t>
  </si>
  <si>
    <t xml:space="preserve">UMA</t>
  </si>
  <si>
    <t xml:space="preserve">Unidad de Medida y Actualización. Referencia económica publicada anualmente por INEGI ($113.14 diaria en 2025).</t>
  </si>
  <si>
    <t xml:space="preserve">SMG</t>
  </si>
  <si>
    <t xml:space="preserve">Salario Mínimo General del área geográfica del contribuyente, publicado por la CONASAMI.</t>
  </si>
  <si>
    <t xml:space="preserve">ISR</t>
  </si>
  <si>
    <t xml:space="preserve">Impuesto Sobre la Renta.</t>
  </si>
  <si>
    <t xml:space="preserve">LISR</t>
  </si>
  <si>
    <t xml:space="preserve">Ley del Impuesto Sobre la Renta.</t>
  </si>
  <si>
    <t xml:space="preserve">RMF</t>
  </si>
  <si>
    <t xml:space="preserve">Resolución Miscelánea Fiscal — disposiciones administrativas que el SAT publica anualmente.</t>
  </si>
  <si>
    <t xml:space="preserve">DATOS GENERALES</t>
  </si>
  <si>
    <t xml:space="preserve">PERCEPCIONES GRAVADAS</t>
  </si>
  <si>
    <t xml:space="preserve">PERCEPCIONES EXENTAS</t>
  </si>
  <si>
    <t xml:space="preserve">DEDUCCIONES</t>
  </si>
  <si>
    <t xml:space="preserve">OTROS PAGOS</t>
  </si>
  <si>
    <t xml:space="preserve">VALIDACION</t>
  </si>
  <si>
    <t xml:space="preserve">CLAVE SAT</t>
  </si>
  <si>
    <t xml:space="preserve">001</t>
  </si>
  <si>
    <t xml:space="preserve">021</t>
  </si>
  <si>
    <t xml:space="preserve">020</t>
  </si>
  <si>
    <t xml:space="preserve">002</t>
  </si>
  <si>
    <t xml:space="preserve">049</t>
  </si>
  <si>
    <t xml:space="preserve">019</t>
  </si>
  <si>
    <t xml:space="preserve">005</t>
  </si>
  <si>
    <t xml:space="preserve">039</t>
  </si>
  <si>
    <t xml:space="preserve">029</t>
  </si>
  <si>
    <t xml:space="preserve">010</t>
  </si>
  <si>
    <t xml:space="preserve">004</t>
  </si>
  <si>
    <t xml:space="preserve">017</t>
  </si>
  <si>
    <t xml:space="preserve">CLAVE EMISOR</t>
  </si>
  <si>
    <t xml:space="preserve">006</t>
  </si>
  <si>
    <t xml:space="preserve">007</t>
  </si>
  <si>
    <t xml:space="preserve">009</t>
  </si>
  <si>
    <t xml:space="preserve">012</t>
  </si>
  <si>
    <t xml:space="preserve">022</t>
  </si>
  <si>
    <t xml:space="preserve">025</t>
  </si>
  <si>
    <t xml:space="preserve">033</t>
  </si>
  <si>
    <t xml:space="preserve">00PFPP</t>
  </si>
  <si>
    <t xml:space="preserve">031</t>
  </si>
  <si>
    <t xml:space="preserve">032</t>
  </si>
  <si>
    <t xml:space="preserve">035</t>
  </si>
  <si>
    <t xml:space="preserve">051</t>
  </si>
  <si>
    <t xml:space="preserve">052</t>
  </si>
  <si>
    <t xml:space="preserve">054</t>
  </si>
  <si>
    <t xml:space="preserve">062</t>
  </si>
  <si>
    <t xml:space="preserve">069</t>
  </si>
  <si>
    <t xml:space="preserve">075</t>
  </si>
  <si>
    <t xml:space="preserve">089</t>
  </si>
  <si>
    <t xml:space="preserve">999</t>
  </si>
  <si>
    <t xml:space="preserve">Ver. CFDI</t>
  </si>
  <si>
    <t xml:space="preserve">Ver. Nom</t>
  </si>
  <si>
    <t xml:space="preserve">UUID</t>
  </si>
  <si>
    <t xml:space="preserve">Fecha Emision</t>
  </si>
  <si>
    <t xml:space="preserve">RFC Emisor</t>
  </si>
  <si>
    <t xml:space="preserve">Nombre Emisor</t>
  </si>
  <si>
    <t xml:space="preserve">RFC Receptor</t>
  </si>
  <si>
    <t xml:space="preserve">Nombre Receptor</t>
  </si>
  <si>
    <t xml:space="preserve">Tipo Nomina</t>
  </si>
  <si>
    <t xml:space="preserve">Forma Pago</t>
  </si>
  <si>
    <t xml:space="preserve">Metodo Pago</t>
  </si>
  <si>
    <t xml:space="preserve">Moneda</t>
  </si>
  <si>
    <t xml:space="preserve">Fecha Pago</t>
  </si>
  <si>
    <t xml:space="preserve">Fecha Inicial</t>
  </si>
  <si>
    <t xml:space="preserve">Fecha Final</t>
  </si>
  <si>
    <t xml:space="preserve">Dias Pagados</t>
  </si>
  <si>
    <t xml:space="preserve">SUELDO ORDINARIO</t>
  </si>
  <si>
    <t xml:space="preserve">VACACIONES</t>
  </si>
  <si>
    <t xml:space="preserve">PRIMA VACACIONAL</t>
  </si>
  <si>
    <t xml:space="preserve">PRIMA DOMINICAL</t>
  </si>
  <si>
    <t xml:space="preserve">AGUINALDO</t>
  </si>
  <si>
    <t xml:space="preserve">PREMIO DE ASISTENCIA</t>
  </si>
  <si>
    <t xml:space="preserve">DIA FESTIVO</t>
  </si>
  <si>
    <t xml:space="preserve">DIA DESCANSO TRABAJADO</t>
  </si>
  <si>
    <t xml:space="preserve">INTERESES DE FONDO DE AHO</t>
  </si>
  <si>
    <t xml:space="preserve">TOTAL GRAVADO</t>
  </si>
  <si>
    <t xml:space="preserve">JUBILACIONES, PENSIONES O HABERES DE RETIRO</t>
  </si>
  <si>
    <t xml:space="preserve">FONDO AHORRO EMPL.</t>
  </si>
  <si>
    <t xml:space="preserve">FONDO AHORRO PAT.</t>
  </si>
  <si>
    <t xml:space="preserve">VALES DE DESPENSA</t>
  </si>
  <si>
    <t xml:space="preserve">TOTAL EXENTO</t>
  </si>
  <si>
    <t xml:space="preserve">TOTAL DE PERCEPCIONES</t>
  </si>
  <si>
    <t xml:space="preserve">I.S.P.T.</t>
  </si>
  <si>
    <t xml:space="preserve">I.M.S.S.</t>
  </si>
  <si>
    <t xml:space="preserve">CREDITO INFONAVIT</t>
  </si>
  <si>
    <t xml:space="preserve">FONDO DE AHORRO</t>
  </si>
  <si>
    <t xml:space="preserve">PAGO POR COMIDA</t>
  </si>
  <si>
    <t xml:space="preserve">I.M.S.S. CESANTIA Y VEJEZ</t>
  </si>
  <si>
    <t xml:space="preserve">VENTA EMPLEADOS</t>
  </si>
  <si>
    <t xml:space="preserve">TOTAL DE DEDUCCIONES</t>
  </si>
  <si>
    <t xml:space="preserve">SUBSIDIO PARA EL EMPLEO CERO</t>
  </si>
  <si>
    <t xml:space="preserve">TOTAL DE OTROS PAGOS</t>
  </si>
  <si>
    <t xml:space="preserve">NETO PAGADO</t>
  </si>
  <si>
    <t xml:space="preserve">NETO XML</t>
  </si>
  <si>
    <t xml:space="preserve">DIFERENCIA</t>
  </si>
  <si>
    <t xml:space="preserve">4.0</t>
  </si>
  <si>
    <t xml:space="preserve">1.2</t>
  </si>
  <si>
    <t xml:space="preserve">DEMO0000-0000-0000-0000-000000000001</t>
  </si>
  <si>
    <t xml:space="preserve">EPU010101AA2</t>
  </si>
  <si>
    <t xml:space="preserve">EMPRESA PATRONAL DEMO UNO</t>
  </si>
  <si>
    <t xml:space="preserve">O</t>
  </si>
  <si>
    <t xml:space="preserve">PUE</t>
  </si>
  <si>
    <t xml:space="preserve">MXN</t>
  </si>
  <si>
    <t xml:space="preserve">DEMO0000-0000-0000-0000-000000000002</t>
  </si>
  <si>
    <t xml:space="preserve">E</t>
  </si>
  <si>
    <t xml:space="preserve">DEMO0000-0000-0000-0000-000000000003</t>
  </si>
  <si>
    <t xml:space="preserve">DEMO0000-0000-0000-0000-000000000004</t>
  </si>
  <si>
    <t xml:space="preserve">DEMO0000-0000-0000-0000-000000000005</t>
  </si>
  <si>
    <t xml:space="preserve">DEMO0000-0000-0000-0000-000000000006</t>
  </si>
  <si>
    <t xml:space="preserve">DEMO0000-0000-0000-0000-000000000007</t>
  </si>
  <si>
    <t xml:space="preserve">DEMO0000-0000-0000-0000-000000000008</t>
  </si>
  <si>
    <t xml:space="preserve">DEMO0000-0000-0000-0000-000000000009</t>
  </si>
  <si>
    <t xml:space="preserve">DEMO0000-0000-0000-0000-000000000010</t>
  </si>
  <si>
    <t xml:space="preserve">DEMO0000-0000-0000-0000-000000000011</t>
  </si>
  <si>
    <t xml:space="preserve">DEMO0000-0000-0000-0000-000000000012</t>
  </si>
  <si>
    <t xml:space="preserve">DEMO0000-0000-0000-0000-000000000013</t>
  </si>
  <si>
    <t xml:space="preserve">DEMO0000-0000-0000-0000-000000000014</t>
  </si>
  <si>
    <t xml:space="preserve">DEMO0000-0000-0000-0000-000000000015</t>
  </si>
  <si>
    <t xml:space="preserve">DEMO0000-0000-0000-0000-000000000016</t>
  </si>
  <si>
    <t xml:space="preserve">DEMO0000-0000-0000-0000-000000000017</t>
  </si>
  <si>
    <t xml:space="preserve">DEMO0000-0000-0000-0000-000000000018</t>
  </si>
  <si>
    <t xml:space="preserve">DEMO0000-0000-0000-0000-000000000019</t>
  </si>
  <si>
    <t xml:space="preserve">DEMO0000-0000-0000-0000-000000000020</t>
  </si>
  <si>
    <t xml:space="preserve">DEMO0000-0000-0000-0000-000000000021</t>
  </si>
  <si>
    <t xml:space="preserve">DEMO0000-0000-0000-0000-000000000022</t>
  </si>
  <si>
    <t xml:space="preserve">DEMO0000-0000-0000-0000-000000000023</t>
  </si>
  <si>
    <t xml:space="preserve">DEMO0000-0000-0000-0000-000000000024</t>
  </si>
  <si>
    <t xml:space="preserve">DEMO0000-0000-0000-0000-000000000025</t>
  </si>
  <si>
    <t xml:space="preserve">DEMO0000-0000-0000-0000-000000000026</t>
  </si>
  <si>
    <t xml:space="preserve">DEMO0000-0000-0000-0000-000000000027</t>
  </si>
  <si>
    <t xml:space="preserve">SUMA EMPRESA PATRONAL DEMO UNO</t>
  </si>
  <si>
    <t xml:space="preserve">DEMO0000-0000-0000-0000-000000000028</t>
  </si>
  <si>
    <t xml:space="preserve">EPD010101AA3</t>
  </si>
  <si>
    <t xml:space="preserve">EMPRESA PATRONAL DEMO DOS</t>
  </si>
  <si>
    <t xml:space="preserve">DEMO0000-0000-0000-0000-000000000029</t>
  </si>
  <si>
    <t xml:space="preserve">DEMO0000-0000-0000-0000-000000000030</t>
  </si>
  <si>
    <t xml:space="preserve">DEMO0000-0000-0000-0000-000000000031</t>
  </si>
  <si>
    <t xml:space="preserve">DEMO0000-0000-0000-0000-000000000032</t>
  </si>
  <si>
    <t xml:space="preserve">DEMO0000-0000-0000-0000-000000000033</t>
  </si>
  <si>
    <t xml:space="preserve">DEMO0000-0000-0000-0000-000000000034</t>
  </si>
  <si>
    <t xml:space="preserve">DEMO0000-0000-0000-0000-000000000035</t>
  </si>
  <si>
    <t xml:space="preserve">DEMO0000-0000-0000-0000-000000000036</t>
  </si>
  <si>
    <t xml:space="preserve">DEMO0000-0000-0000-0000-000000000037</t>
  </si>
  <si>
    <t xml:space="preserve">DEMO0000-0000-0000-0000-000000000038</t>
  </si>
  <si>
    <t xml:space="preserve">DEMO0000-0000-0000-0000-000000000039</t>
  </si>
  <si>
    <t xml:space="preserve">DEMO0000-0000-0000-0000-000000000040</t>
  </si>
  <si>
    <t xml:space="preserve">DEMO0000-0000-0000-0000-000000000041</t>
  </si>
  <si>
    <t xml:space="preserve">DEMO0000-0000-0000-0000-000000000042</t>
  </si>
  <si>
    <t xml:space="preserve">DEMO0000-0000-0000-0000-000000000043</t>
  </si>
  <si>
    <t xml:space="preserve">DEMO0000-0000-0000-0000-000000000044</t>
  </si>
  <si>
    <t xml:space="preserve">DEMO0000-0000-0000-0000-000000000045</t>
  </si>
  <si>
    <t xml:space="preserve">DEMO0000-0000-0000-0000-000000000046</t>
  </si>
  <si>
    <t xml:space="preserve">DEMO0000-0000-0000-0000-000000000047</t>
  </si>
  <si>
    <t xml:space="preserve">DEMO0000-0000-0000-0000-000000000048</t>
  </si>
  <si>
    <t xml:space="preserve">DEMO0000-0000-0000-0000-000000000049</t>
  </si>
  <si>
    <t xml:space="preserve">DEMO0000-0000-0000-0000-000000000050</t>
  </si>
  <si>
    <t xml:space="preserve">DEMO0000-0000-0000-0000-000000000051</t>
  </si>
  <si>
    <t xml:space="preserve">DEMO0000-0000-0000-0000-000000000052</t>
  </si>
  <si>
    <t xml:space="preserve">SUMA EMPRESA PATRONAL DEMO DOS</t>
  </si>
  <si>
    <t xml:space="preserve">TOTAL ANUAL</t>
  </si>
  <si>
    <t xml:space="preserve">ACUMULADO ANUAL POR PATRÓN — Espejo Visor SAT</t>
  </si>
  <si>
    <t xml:space="preserve">Ejercicio:</t>
  </si>
  <si>
    <t xml:space="preserve">Patrón:</t>
  </si>
  <si>
    <t xml:space="preserve">RFC del patrón:</t>
  </si>
  <si>
    <t xml:space="preserve">Registro patronal:</t>
  </si>
  <si>
    <t xml:space="preserve">X0000000000</t>
  </si>
  <si>
    <t xml:space="preserve">SUELDOS Y SALARIOS</t>
  </si>
  <si>
    <t xml:space="preserve">Ingresos totales por sueldos y salarios</t>
  </si>
  <si>
    <t xml:space="preserve">Ingreso por sueldos y salarios</t>
  </si>
  <si>
    <t xml:space="preserve">Total ajustes sueldos y salarios (gravados y exentos)</t>
  </si>
  <si>
    <t xml:space="preserve">Ingresos totales por sueldos y salarios exentos</t>
  </si>
  <si>
    <t xml:space="preserve">Ingreso exento por sueldos y salarios</t>
  </si>
  <si>
    <t xml:space="preserve">Total ajustes sueldos y salarios exentos</t>
  </si>
  <si>
    <t xml:space="preserve">Desglose de exentos (datos informativos)</t>
  </si>
  <si>
    <t xml:space="preserve">Aguinaldo exento</t>
  </si>
  <si>
    <t xml:space="preserve">Prima vacacional exento</t>
  </si>
  <si>
    <t xml:space="preserve">Pagos por prima dominical exento</t>
  </si>
  <si>
    <t xml:space="preserve">Pagos por PTU exenta</t>
  </si>
  <si>
    <t xml:space="preserve">Previsión social exenta</t>
  </si>
  <si>
    <t xml:space="preserve">Otros ingresos exentos por sueldos y salarios</t>
  </si>
  <si>
    <t xml:space="preserve">Subsidio para el empleo</t>
  </si>
  <si>
    <t xml:space="preserve">Subsidio para el Empleo que le correspondió</t>
  </si>
  <si>
    <t xml:space="preserve">Total ajustes subsidio para el empleo que le correspondió</t>
  </si>
  <si>
    <t xml:space="preserve">Subsidio para el Empleo pagado en efectivo</t>
  </si>
  <si>
    <t xml:space="preserve">Subsidio para el empleo entregado</t>
  </si>
  <si>
    <t xml:space="preserve">Total ajustes subsidio para el empleo entregado</t>
  </si>
  <si>
    <t xml:space="preserve">ASIMILADOS A SALARIOS</t>
  </si>
  <si>
    <t xml:space="preserve">Total de ingresos por asimilados a salarios</t>
  </si>
  <si>
    <t xml:space="preserve">Ingresos asimilados</t>
  </si>
  <si>
    <t xml:space="preserve">Total ajustes asimilados</t>
  </si>
  <si>
    <t xml:space="preserve">INDEMNIZACIÓN</t>
  </si>
  <si>
    <t xml:space="preserve">Total de ingresos por indemnización</t>
  </si>
  <si>
    <t xml:space="preserve">Ingresos por indemnización</t>
  </si>
  <si>
    <t xml:space="preserve">Total ajustes por indemnización (gravados y exentos)</t>
  </si>
  <si>
    <t xml:space="preserve">Total de ingresos exentos por indemnización</t>
  </si>
  <si>
    <t xml:space="preserve">Ingresos exentos por indemnización</t>
  </si>
  <si>
    <t xml:space="preserve">Total ajustes por indemnización exentos</t>
  </si>
  <si>
    <t xml:space="preserve">Último sueldo mensual ordinario</t>
  </si>
  <si>
    <t xml:space="preserve">Ingresos acumulables (último sueldo mensual ord.)</t>
  </si>
  <si>
    <t xml:space="preserve">Total ajustes ingresos acumulables (USMO)</t>
  </si>
  <si>
    <t xml:space="preserve">Número de años de servicio</t>
  </si>
  <si>
    <t xml:space="preserve">JUBILACIÓN EN PARCIALIDADES</t>
  </si>
  <si>
    <t xml:space="preserve">Total de ingresos por jubilación en parcialidades</t>
  </si>
  <si>
    <t xml:space="preserve">Monto total pagado por Jubilación en parcialidades</t>
  </si>
  <si>
    <t xml:space="preserve">Total ajustes jubilación en parcialidades</t>
  </si>
  <si>
    <t xml:space="preserve">Total de ingresos exentos por jubilación parcialidades</t>
  </si>
  <si>
    <t xml:space="preserve">Ingresos exentos por jubilación en parcialidades</t>
  </si>
  <si>
    <t xml:space="preserve">Total ajustes jubilación en parcialidades exentos</t>
  </si>
  <si>
    <t xml:space="preserve">JUBILACIÓN EN UNA SOLA EXHIBICIÓN</t>
  </si>
  <si>
    <t xml:space="preserve">Total de ingresos por jubilación en una exhibición</t>
  </si>
  <si>
    <t xml:space="preserve">Ingresos por jubilación en una sola exhibición</t>
  </si>
  <si>
    <t xml:space="preserve">Total ajustes jubilación en una sola exhibición</t>
  </si>
  <si>
    <t xml:space="preserve">Total de ingresos exentos por jubilación exhibición</t>
  </si>
  <si>
    <t xml:space="preserve">Ingresos exentos por jubilación en una sola exhibición</t>
  </si>
  <si>
    <t xml:space="preserve">Total ajustes jubilación en una sola exhibición exento</t>
  </si>
  <si>
    <t xml:space="preserve">ISR Y AJUSTES</t>
  </si>
  <si>
    <t xml:space="preserve">ISR retenido</t>
  </si>
  <si>
    <t xml:space="preserve">Total del impuesto retenido</t>
  </si>
  <si>
    <t xml:space="preserve">Total ajustes del impuesto retenido</t>
  </si>
  <si>
    <t xml:space="preserve">Total ISR Retenido de ejercicio anterior</t>
  </si>
  <si>
    <t xml:space="preserve">Total aplicación de saldo a favor por compensación anual</t>
  </si>
  <si>
    <t xml:space="preserve">Total reintegro de ISR retenido en exceso</t>
  </si>
  <si>
    <t xml:space="preserve">—</t>
  </si>
  <si>
    <t xml:space="preserve">DETALLE MENSUAL POR PATRÓN — Nivel 3 del Visor SAT</t>
  </si>
  <si>
    <t xml:space="preserve">EPU010101AA2
EMPRESA PATRONAL DEMO UNO</t>
  </si>
  <si>
    <t xml:space="preserve">EPD010101AA3
EMPRESA PATRONAL DEMO DOS</t>
  </si>
  <si>
    <t xml:space="preserve">TOTAL</t>
  </si>
  <si>
    <t xml:space="preserve">Mes</t>
  </si>
  <si>
    <t xml:space="preserve">Gravado</t>
  </si>
  <si>
    <t xml:space="preserve">Exento</t>
  </si>
  <si>
    <t xml:space="preserve">ISR ret.</t>
  </si>
  <si>
    <t xml:space="preserve">Subsidio</t>
  </si>
  <si>
    <t xml:space="preserve">Ene</t>
  </si>
  <si>
    <t xml:space="preserve">Feb</t>
  </si>
  <si>
    <t xml:space="preserve">Mar</t>
  </si>
  <si>
    <t xml:space="preserve">Abr</t>
  </si>
  <si>
    <t xml:space="preserve">May</t>
  </si>
  <si>
    <t xml:space="preserve">Jun</t>
  </si>
  <si>
    <t xml:space="preserve">Jul</t>
  </si>
  <si>
    <t xml:space="preserve">Ago</t>
  </si>
  <si>
    <t xml:space="preserve">Sep</t>
  </si>
  <si>
    <t xml:space="preserve">Oct</t>
  </si>
  <si>
    <t xml:space="preserve">Nov</t>
  </si>
  <si>
    <t xml:space="preserve">Dic</t>
  </si>
  <si>
    <t xml:space="preserve">CORRELACIÓN DE NÓMINA CON ESTADOS DE CUENTA BANCARIOS</t>
  </si>
  <si>
    <t xml:space="preserve">#</t>
  </si>
  <si>
    <t xml:space="preserve">Fecha de emisión</t>
  </si>
  <si>
    <t xml:space="preserve">RFC del patrón</t>
  </si>
  <si>
    <t xml:space="preserve">Patrón</t>
  </si>
  <si>
    <t xml:space="preserve">Suma percepciones</t>
  </si>
  <si>
    <t xml:space="preserve">Suma deducciones</t>
  </si>
  <si>
    <t xml:space="preserve">Importe neto</t>
  </si>
  <si>
    <t xml:space="preserve">Fecha de depósito
(editable)</t>
  </si>
  <si>
    <t xml:space="preserve">Referencia / clave de rastreo
(editable)</t>
  </si>
  <si>
    <t xml:space="preserve">INTERESES REALES — Constancias del Sistema Financiero (Art. 134-136 LISR)</t>
  </si>
  <si>
    <t xml:space="preserve">  Datos generales</t>
  </si>
  <si>
    <t xml:space="preserve">Institución (Emisor)</t>
  </si>
  <si>
    <t xml:space="preserve">INSTITUCION FINANCIERA DEMO</t>
  </si>
  <si>
    <t xml:space="preserve">IFD010101AA6</t>
  </si>
  <si>
    <t xml:space="preserve">Cliente</t>
  </si>
  <si>
    <t xml:space="preserve">RFC Cliente</t>
  </si>
  <si>
    <t xml:space="preserve">Periodo</t>
  </si>
  <si>
    <t xml:space="preserve">01-12/2025</t>
  </si>
  <si>
    <t xml:space="preserve">Sistema financiero</t>
  </si>
  <si>
    <t xml:space="preserve">Sí</t>
  </si>
  <si>
    <t xml:space="preserve">  Datos sobre los intereses (Art. 134-136 LISR)</t>
  </si>
  <si>
    <t xml:space="preserve">Interés nominal</t>
  </si>
  <si>
    <t xml:space="preserve">Pérdida inflacionaria</t>
  </si>
  <si>
    <t xml:space="preserve">INTERÉS REAL (acumulable)</t>
  </si>
  <si>
    <t xml:space="preserve">  Datos fiscales y certificación</t>
  </si>
  <si>
    <t xml:space="preserve">DEMO0000-0000-0000-0000-000000000053</t>
  </si>
  <si>
    <t xml:space="preserve">Fecha de timbrado</t>
  </si>
  <si>
    <t xml:space="preserve">Folio interno</t>
  </si>
  <si>
    <t xml:space="preserve">DEMOFOLIOINTERNO0001</t>
  </si>
  <si>
    <t xml:space="preserve">CveRetenc</t>
  </si>
  <si>
    <t xml:space="preserve">16</t>
  </si>
  <si>
    <t xml:space="preserve">TOTAL DE INTERESES REALES DEL EJERCICIO (acumulable a la base gravable)</t>
  </si>
  <si>
    <t xml:space="preserve">Total Interés Real</t>
  </si>
  <si>
    <t xml:space="preserve">← Esta cifra se acumula automáticamente en CONFRONTA_CONTRIB_SAT</t>
  </si>
  <si>
    <t xml:space="preserve">Las constancias de intereses son emitidas por las instituciones del sistema financiero (CFDI de Retenciones, CveRetenc=16). El interés real se calcula como Interés Nominal − Ajuste por Inflación (Art. 136 LISR) y se acumula a los demás ingresos del contribuyente para el cálculo del ISR anual (Art. 135 LISR).</t>
  </si>
  <si>
    <t xml:space="preserve">TOPES FISCALES POR EJERCICIO — UMA y topes Art. 93 LISR</t>
  </si>
  <si>
    <t xml:space="preserve">Concepto / Ejercicio</t>
  </si>
  <si>
    <t xml:space="preserve">2020</t>
  </si>
  <si>
    <t xml:space="preserve">2021</t>
  </si>
  <si>
    <t xml:space="preserve">2022</t>
  </si>
  <si>
    <t xml:space="preserve">2023</t>
  </si>
  <si>
    <t xml:space="preserve">2024</t>
  </si>
  <si>
    <t xml:space="preserve">2026</t>
  </si>
  <si>
    <t xml:space="preserve">UMA (Unidad de Medida y Actualización)</t>
  </si>
  <si>
    <t xml:space="preserve">UMA diaria</t>
  </si>
  <si>
    <t xml:space="preserve">UMA mensual</t>
  </si>
  <si>
    <t xml:space="preserve">UMA anual</t>
  </si>
  <si>
    <t xml:space="preserve">Salario mínimo (CONASAMI)</t>
  </si>
  <si>
    <t xml:space="preserve">SM general</t>
  </si>
  <si>
    <t xml:space="preserve">SM zona frontera norte</t>
  </si>
  <si>
    <t xml:space="preserve">Art. 93 LISR — Topes de exención (derivados de UMA diaria)</t>
  </si>
  <si>
    <t xml:space="preserve">Art. 93 fr. XIV — Primas y gratificaciones</t>
  </si>
  <si>
    <t xml:space="preserve">Aguinaldo exento (30 UMA diaria)</t>
  </si>
  <si>
    <t xml:space="preserve">Prima vacacional exenta (15 UMA diaria)</t>
  </si>
  <si>
    <t xml:space="preserve">PTU exenta (15 UMA diaria)</t>
  </si>
  <si>
    <t xml:space="preserve">Prima dominical exenta (1 UMA diaria × domingo)</t>
  </si>
  <si>
    <t xml:space="preserve">Art. 93 fr. XIII — Pagos por separación / antigüedad / indemnización</t>
  </si>
  <si>
    <t xml:space="preserve">Base por año de servicio (90 UMA diaria)</t>
  </si>
  <si>
    <t xml:space="preserve">Nota: tope = 90 UMA × años de servicio. Ejemplos calculados abajo.</t>
  </si>
  <si>
    <t xml:space="preserve">  Ejemplo con 5 años de servicio</t>
  </si>
  <si>
    <t xml:space="preserve">  Ejemplo con 10 años de servicio</t>
  </si>
  <si>
    <t xml:space="preserve">  Ejemplo con 20 años de servicio</t>
  </si>
  <si>
    <t xml:space="preserve">  Ejemplo con 30 años de servicio</t>
  </si>
  <si>
    <t xml:space="preserve">Art. 93 penúltimo párrafo — Previsión social</t>
  </si>
  <si>
    <t xml:space="preserve">Umbral (7 UMA anual)</t>
  </si>
  <si>
    <t xml:space="preserve">Exención máxima por exceso del umbral (1 UMA anual)</t>
  </si>
  <si>
    <t xml:space="preserve">Si salarios + previsión social exenta &gt; 7 UMA anual, la exención de previsión social se limita a 1 UMA anual. El excedente es gravable.</t>
  </si>
  <si>
    <t xml:space="preserve">Art. 93 fr. I — Horas extra (exención aproximada)</t>
  </si>
  <si>
    <t xml:space="preserve">3 veces SM general diario (referencia)</t>
  </si>
  <si>
    <t xml:space="preserve">Para trabajadores con SM: 100% exento. Para otros: mitad exenta hasta 3 × SM, con máximo 9 horas a la semana.</t>
  </si>
  <si>
    <t xml:space="preserve">Deducciones personales (Art. 151 LISR)</t>
  </si>
  <si>
    <t xml:space="preserve">Tope global: 5 UMA anual (se compara vs. 15% ingresos)</t>
  </si>
  <si>
    <t xml:space="preserve">El tope aplicable es el MENOR entre 5 UMA anual y el 15% del total de ingresos del contribuyente.</t>
  </si>
  <si>
    <t xml:space="preserve">Topes de colegiaturas por nivel educativo (fijos, Decreto Art. 1.10 RMF)</t>
  </si>
  <si>
    <t xml:space="preserve">Preescolar</t>
  </si>
  <si>
    <t xml:space="preserve">Primaria</t>
  </si>
  <si>
    <t xml:space="preserve">Secundaria</t>
  </si>
  <si>
    <t xml:space="preserve">Profesional técnico</t>
  </si>
  <si>
    <t xml:space="preserve">Bachillerato</t>
  </si>
  <si>
    <t xml:space="preserve">Topes por alumno, por año. No cambian con UMA. Aplica solo cuando el contribuyente paga la colegiatura directamente a institución con autorización oficial.</t>
  </si>
  <si>
    <t xml:space="preserve">Ejercicio(s) presente(s) en el papel de trabajo: resaltado en rojo.</t>
  </si>
  <si>
    <t xml:space="preserve">APLICACIÓN AL EJERCICIO 2025 — Datos del contribuyente</t>
  </si>
  <si>
    <t xml:space="preserve">UMA 2025 anual</t>
  </si>
  <si>
    <t xml:space="preserve">5 UMAs anuales (tope global deducciones)</t>
  </si>
  <si>
    <t xml:space="preserve">TOPE DE FONDO DE AHORRO</t>
  </si>
  <si>
    <t xml:space="preserve">TOPE DE VALES DE DESPENSA</t>
  </si>
  <si>
    <t xml:space="preserve">Salario mensual (editable ↓)</t>
  </si>
  <si>
    <t xml:space="preserve">Hasta 30 UMAs diarias exentas (2025)</t>
  </si>
  <si>
    <t xml:space="preserve">Aportación total (13%)</t>
  </si>
  <si>
    <t xml:space="preserve">Aplica tope si supera previsión social de 7→1 UMA anual (ver alertas en OBSERVACIONES_FISCALES)</t>
  </si>
  <si>
    <t xml:space="preserve">Límite (1.3 × UMA anual, Art. 27 fr. XI LISR)</t>
  </si>
  <si>
    <t xml:space="preserve">Excedente sobre el límite</t>
  </si>
  <si>
    <t xml:space="preserve">¿Dentro del límite?</t>
  </si>
  <si>
    <t xml:space="preserve">ISR estimado sobre el excedente (tasa 30%)</t>
  </si>
  <si>
    <t xml:space="preserve">TOPE DE DEDUCCIONES PERSONALES</t>
  </si>
  <si>
    <t xml:space="preserve">TOPES DE COLEGIATURAS POR NIVEL (Decreto RMF)</t>
  </si>
  <si>
    <t xml:space="preserve">(+) Ingresos gravados anuales</t>
  </si>
  <si>
    <t xml:space="preserve">Preescolar:</t>
  </si>
  <si>
    <t xml:space="preserve">(+) Ingresos exentos anuales</t>
  </si>
  <si>
    <t xml:space="preserve">Primaria:</t>
  </si>
  <si>
    <t xml:space="preserve">(+) Intereses reales del ejercicio</t>
  </si>
  <si>
    <t xml:space="preserve">Secundaria:</t>
  </si>
  <si>
    <t xml:space="preserve">(=) Total de ingresos para el tope</t>
  </si>
  <si>
    <t xml:space="preserve">Profesional técnico:</t>
  </si>
  <si>
    <t xml:space="preserve">15% de ingresos totales</t>
  </si>
  <si>
    <t xml:space="preserve">Bachillerato:</t>
  </si>
  <si>
    <t xml:space="preserve">5 UMAs anuales (UMA diaria × 365 × 5)</t>
  </si>
  <si>
    <t xml:space="preserve">Tope aplicable (el MENOR)</t>
  </si>
  <si>
    <t xml:space="preserve">Regla aplicada</t>
  </si>
  <si>
    <t xml:space="preserve">Saldo por deducir (editable ↓)</t>
  </si>
  <si>
    <t xml:space="preserve">Este tope global aplica SOLO al Grupo 1 (D01, D03, D05, D07, D08). Las excepciones del Art. 151 último párrafo (D02, D04, D06) y los conceptos fuera del 151 (D09 Art. 185, D10 Decreto colegiaturas) NO participan del tope global y se acumulan al total deducible después del recorte del Grupo 1.</t>
  </si>
  <si>
    <t xml:space="preserve">APLICACIÓN DE TOPE DE COLEGIATURA</t>
  </si>
  <si>
    <t xml:space="preserve">Nivel educativo (editable ↓)</t>
  </si>
  <si>
    <t xml:space="preserve">Deducción personal de colegiatura (editable ↓)</t>
  </si>
  <si>
    <t xml:space="preserve">Límite según nivel (2025)</t>
  </si>
  <si>
    <t xml:space="preserve">Celdas en amarillo ↑ son editables: captura los valores del contribuyente para que las fórmulas se actualicen automáticamente.</t>
  </si>
  <si>
    <t xml:space="preserve">CONFRONTA CONTRIBUYENTE vs SAT — Ejercicio 2025</t>
  </si>
  <si>
    <t xml:space="preserve">INGRESOS POR PATRÓN</t>
  </si>
  <si>
    <t xml:space="preserve">RFC / Patrón</t>
  </si>
  <si>
    <t xml:space="preserve">Contribuyente</t>
  </si>
  <si>
    <t xml:space="preserve">SAT</t>
  </si>
  <si>
    <t xml:space="preserve">Diferencia</t>
  </si>
  <si>
    <t xml:space="preserve">PRESTACIONES EXENTAS — DESGLOSE (origen: hoja CONCENTRADO)</t>
  </si>
  <si>
    <t xml:space="preserve">Concepto</t>
  </si>
  <si>
    <t xml:space="preserve">Aguinaldo (clave 002)</t>
  </si>
  <si>
    <t xml:space="preserve">Prima vacacional (clave 021)</t>
  </si>
  <si>
    <t xml:space="preserve">Prima dominical (clave 020)</t>
  </si>
  <si>
    <t xml:space="preserve">Jubilación una exhibición (claves 039/053)</t>
  </si>
  <si>
    <t xml:space="preserve">Otros conceptos exentos</t>
  </si>
  <si>
    <t xml:space="preserve">TOTAL EXENTOS</t>
  </si>
  <si>
    <t xml:space="preserve">CÁLCULO ISR ANUAL — Art. 152 LISR</t>
  </si>
  <si>
    <t xml:space="preserve">SAT (editable)</t>
  </si>
  <si>
    <t xml:space="preserve">  PERCEPCIONES (origen: hoja CONCENTRADO)</t>
  </si>
  <si>
    <t xml:space="preserve">Total Percepciones</t>
  </si>
  <si>
    <t xml:space="preserve">(−)</t>
  </si>
  <si>
    <t xml:space="preserve">Ingresos exentos</t>
  </si>
  <si>
    <t xml:space="preserve">(+)</t>
  </si>
  <si>
    <t xml:space="preserve">Intereses reales del ejercicio</t>
  </si>
  <si>
    <t xml:space="preserve">(=)</t>
  </si>
  <si>
    <t xml:space="preserve">Ingresos acumulables</t>
  </si>
  <si>
    <t xml:space="preserve">  DEDUCCIONES Y BASE GRAVABLE</t>
  </si>
  <si>
    <t xml:space="preserve">Deducciones personales (con topes)</t>
  </si>
  <si>
    <t xml:space="preserve">Ingreso gravable</t>
  </si>
  <si>
    <t xml:space="preserve">  APLICACIÓN DE TARIFA (Art. 152 LISR)</t>
  </si>
  <si>
    <t xml:space="preserve">Límite inferior</t>
  </si>
  <si>
    <t xml:space="preserve">Excedente</t>
  </si>
  <si>
    <t xml:space="preserve">(×)</t>
  </si>
  <si>
    <t xml:space="preserve">Tasa marginal</t>
  </si>
  <si>
    <t xml:space="preserve">Impuesto marginal</t>
  </si>
  <si>
    <t xml:space="preserve">Cuota fija</t>
  </si>
  <si>
    <t xml:space="preserve">Impuesto previo</t>
  </si>
  <si>
    <t xml:space="preserve">  AJUSTES E ISR FINAL</t>
  </si>
  <si>
    <t xml:space="preserve">Subsidio al empleo</t>
  </si>
  <si>
    <t xml:space="preserve">ISR Tarifa Anual</t>
  </si>
  <si>
    <t xml:space="preserve">ISR retenido por el patrón</t>
  </si>
  <si>
    <t xml:space="preserve">Las celdas amarillas son editables. Captura los valores del Visor SAT en la columna SAT para que la columna Diferencia muestre las discrepancias automáticamente. Las celdas de Contribuyente con fórmula ='CONCENTRADO'!… se actualizan al editar la hoja CONCENTRADO. Los signos en la columna A son auxiliares: (=) marca los pasos clave; (+)(−)(×) son operaciones intermedias.</t>
  </si>
  <si>
    <t xml:space="preserve">ESCENARIO ALTERNATIVO — CON AJUSTES PROPUESTOS POR AUDITORÍA</t>
  </si>
  <si>
    <t xml:space="preserve">Monto</t>
  </si>
  <si>
    <t xml:space="preserve">+ Exento</t>
  </si>
  <si>
    <t xml:space="preserve">Prima dominical — exención 1 UMA × domingos no aplicada</t>
  </si>
  <si>
    <t xml:space="preserve">Prima vacacional — exención 15 UMA no aplicada</t>
  </si>
  <si>
    <t xml:space="preserve">Aumento de exenciones (favorable)</t>
  </si>
  <si>
    <t xml:space="preserve">Aumento de gravado por reclasificación (desfavorable)</t>
  </si>
  <si>
    <t xml:space="preserve">Cambio neto en la base gravable (ajustes aplicados)</t>
  </si>
  <si>
    <t xml:space="preserve">Estos ajustes corresponden a las observaciones de auditoría detectadas (ver hoja OBSERVACIONES_FISCALES). El contador debe evaluar caso por caso si tiene argumentos para aplicarlos en la Declaración Anual: las exenciones no aplicadas favorecen al contribuyente; las reclasificaciones (quinquenios, vales no deducibles, exceso previsión social) lo perjudican y solo deberían aplicarse si la autoridad lo requiere o si conviene regularizar voluntariamente.</t>
  </si>
  <si>
    <t xml:space="preserve">DEDUCCIONES PERSONALES — CONFRONTA CONTRIBUYENTE vs SAT</t>
  </si>
  <si>
    <t xml:space="preserve">Estado SAT</t>
  </si>
  <si>
    <t xml:space="preserve">Tipo</t>
  </si>
  <si>
    <t xml:space="preserve">Fecha emisión</t>
  </si>
  <si>
    <t xml:space="preserve">UUID relación</t>
  </si>
  <si>
    <t xml:space="preserve">RFC emisor</t>
  </si>
  <si>
    <t xml:space="preserve">Nombre emisor</t>
  </si>
  <si>
    <t xml:space="preserve">Uso CFDI</t>
  </si>
  <si>
    <t xml:space="preserve">FACTURADO</t>
  </si>
  <si>
    <t xml:space="preserve">DEDUCIBLE
según contribuyente</t>
  </si>
  <si>
    <t xml:space="preserve">DEDUCIBLE
según SAT (editable)</t>
  </si>
  <si>
    <t xml:space="preserve">Diferencia
FAC − SAT</t>
  </si>
  <si>
    <t xml:space="preserve">Diferencia
CONTR − SAT</t>
  </si>
  <si>
    <t xml:space="preserve">Forma pago</t>
  </si>
  <si>
    <t xml:space="preserve">Método pago</t>
  </si>
  <si>
    <t xml:space="preserve">Conceptos</t>
  </si>
  <si>
    <t xml:space="preserve">Vigente</t>
  </si>
  <si>
    <t xml:space="preserve">Factura</t>
  </si>
  <si>
    <t xml:space="preserve">DEMO0000-0000-0000-0000-000000000054</t>
  </si>
  <si>
    <t xml:space="preserve">IED010101AA4</t>
  </si>
  <si>
    <t xml:space="preserve">INSTITUCION EDUCATIVA DEMO</t>
  </si>
  <si>
    <t xml:space="preserve">D10 - Pagos por servicios educativos (colegiaturas)</t>
  </si>
  <si>
    <t xml:space="preserve">03 - Transferencia electrónica</t>
  </si>
  <si>
    <t xml:space="preserve">PUE - Pago en una sola exhibición</t>
  </si>
  <si>
    <t xml:space="preserve">COLEGIATURA 08/2025</t>
  </si>
  <si>
    <t xml:space="preserve">DEMO0000-0000-0000-0000-000000000055</t>
  </si>
  <si>
    <t xml:space="preserve">PFD010101AA5</t>
  </si>
  <si>
    <t xml:space="preserve">MARIA LOPEZ GARCIA</t>
  </si>
  <si>
    <t xml:space="preserve">D01 - Honorarios médicos, dentales y gastos hospitalarios</t>
  </si>
  <si>
    <t xml:space="preserve">04 - Tarjeta de crédito</t>
  </si>
  <si>
    <t xml:space="preserve">Honorarios Médicos Profesionales de Odontología</t>
  </si>
  <si>
    <t xml:space="preserve">DEMO0000-0000-0000-0000-000000000056</t>
  </si>
  <si>
    <t xml:space="preserve">COLEGIATURA 09/2025</t>
  </si>
  <si>
    <t xml:space="preserve">DEMO0000-0000-0000-0000-000000000057</t>
  </si>
  <si>
    <t xml:space="preserve">COLEGIATURA 10/2025</t>
  </si>
  <si>
    <t xml:space="preserve">DEMO0000-0000-0000-0000-000000000058</t>
  </si>
  <si>
    <t xml:space="preserve">COLEGIATURA 11/2025</t>
  </si>
  <si>
    <t xml:space="preserve">DEMO0000-0000-0000-0000-000000000059</t>
  </si>
  <si>
    <t xml:space="preserve">COLEGIATURA 12/2025</t>
  </si>
  <si>
    <t xml:space="preserve">TOTAL DEDUCIBLES</t>
  </si>
  <si>
    <t xml:space="preserve">RESUMEN — DEDUCCIONES DEDUCIBLES CON TOPES APLICADOS · EJERCICIO 2025</t>
  </si>
  <si>
    <t xml:space="preserve">UsoCFDI</t>
  </si>
  <si>
    <t xml:space="preserve">Facturado</t>
  </si>
  <si>
    <t xml:space="preserve">Deducible</t>
  </si>
  <si>
    <t xml:space="preserve">Nota</t>
  </si>
  <si>
    <t xml:space="preserve">GRUPO 1 — Sujetas al tope global del 15% / 5 UMAs (Art. 151 último párrafo)</t>
  </si>
  <si>
    <t xml:space="preserve">D01</t>
  </si>
  <si>
    <t xml:space="preserve">Honorarios médicos, dentales y hospitalarios</t>
  </si>
  <si>
    <t xml:space="preserve">Subtotal Grupo 1</t>
  </si>
  <si>
    <t xml:space="preserve">Tope 5 UMA anual</t>
  </si>
  <si>
    <t xml:space="preserve">Tope 15% de ingresos</t>
  </si>
  <si>
    <t xml:space="preserve">Tope global aplicable (MENOR) — motivo: SIN_TOPE</t>
  </si>
  <si>
    <t xml:space="preserve">Factor proporcional aplicado al Grupo 1</t>
  </si>
  <si>
    <t xml:space="preserve">GRUPO 3 — Fuera del Art. 151 (D09 Art. 185 · D10 Decreto colegiaturas)</t>
  </si>
  <si>
    <t xml:space="preserve">D10</t>
  </si>
  <si>
    <t xml:space="preserve">Servicios educativos (colegiaturas)</t>
  </si>
  <si>
    <t xml:space="preserve">Subtotal Grupo 3</t>
  </si>
  <si>
    <t xml:space="preserve">TOTAL DEDUCIBLE (G1 + G2 + G3, para CONFRONTA_CONTRIB_SAT)</t>
  </si>
  <si>
    <t xml:space="preserve">NOTA FISCAL — TOPE GLOBAL DE DEDUCCIONES PERSONALES</t>
  </si>
  <si>
    <t xml:space="preserve">Este papel aplica el Art. 151 último párrafo LISR conforme a las excepciones expresamente establecidas:</t>
  </si>
  <si>
    <t xml:space="preserve">✓ Sujetas al tope global del 15% / 5 UMAs:  D01 · D03 · D05 · D07 · D08</t>
  </si>
  <si>
    <t xml:space="preserve">✗ Excluidas del tope global (excepciones del último párrafo):    D02 — Gastos médicos por incapacidad/discapacidad    ·  D04 — Donativos    ·  D06 — Aportaciones voluntarias al SAR</t>
  </si>
  <si>
    <t xml:space="preserve">✗ Fuera del Art. 151 (legislación independiente):    D09 — Cuentas especiales para el ahorro (Art. 185 LISR)    ·  D10 — Servicios educativos / colegiaturas (Decreto 26-dic-2013)</t>
  </si>
  <si>
    <t xml:space="preserve">Texto literal del Art. 151 último párrafo LISR:</t>
  </si>
  <si>
    <t xml:space="preserve">"El monto total de las deducciones que podrán efectuar los contribuyentes en los términos de este artículo, no podrá exceder de la cantidad que resulte menor entre cinco veces el valor anual de la UMA, o del 15% del total de los ingresos del contribuyente, incluyendo aquéllos por los que no se pague el impuesto. Lo dispuesto en este párrafo no será aplicable tratándose de las fracciones III y V de este artículo, así como de los gastos médicos por incapacidad o discapacidad a que se refiere el segundo párrafo de la fracción I."</t>
  </si>
  <si>
    <t xml:space="preserve">Jurisprudencia confirmatoria:</t>
  </si>
  <si>
    <t xml:space="preserve">SCJN: "RENTA. SON INOPERANTES LOS ARGUMENTOS EN EL SENTIDO DE QUE EL ÚLTIMO PÁRRAFO DEL ARTÍCULO 151 DE LA LEY DEL IMPUESTO RELATIVO, VIGENTE A PARTIR DEL 1 DE ENERO DEL 2014, AL ESTABLECER UN LÍMITE PARA LAS DEDUCCIONES PERSONALES, VIOLA EL PRINCIPIO DE PROPORCIONALIDAD TRIBUTARIA." (Publicada 7 de febrero de 2020). La SCJN confirmó la constitucionalidad del tope.</t>
  </si>
  <si>
    <t xml:space="preserve">Los topes individuales se aplican PRIMERO; el tope global del 15% / 5 UMAs se aplica DESPUÉS solo a las deducciones del Grupo 1.</t>
  </si>
  <si>
    <t xml:space="preserve">⚠ NOTA OPERATIVA — CONFRONTA CON PORTAL SAT</t>
  </si>
  <si>
    <t xml:space="preserve">Este papel aplica el Art. 151 último párrafo LISR respetando las excepciones expresas (D02, D04, D06) y los conceptos fuera del 151 (D09, D10), de modo que el TOTAL DEDUCIBLE debe coincidir con el monto del portal SAT. La columna "DEDUCIBLE según SAT (editable)" en la tabla superior queda a disposición del contador para documentar diferencias puntuales que surjan en el simulador o liquidación final.</t>
  </si>
  <si>
    <t xml:space="preserve">Orden de aplicación de topes (Arts. 151 y 185 LISR): 1) se excluyen las pagadas en efectivo (no son deducibles, Art. 151 último párrafo); 2) se aplican topes individuales por tipo (D03 funerarios hasta 1 UMA anual · D04 donativos hasta 7% ingreso ejercicio anterior · D06 SAR hasta MIN(10% ingresos, 5 UMA) · D09 cuentas ahorro hasta $152,000); 3) el tope global del 15% / 5 UMAs se aplica SOLO sobre el Grupo 1 (D01, D03, D05, D07, D08). Las excepciones del último párrafo (D02, D04, D06) y los conceptos fuera del 151 (D09 Art. 185, D10 Decreto colegiaturas) NO participan del tope global.</t>
  </si>
  <si>
    <t xml:space="preserve">OBSERVACIONES FISCALES — CATÁLOGO SAT c_TipoPercepcion (Rev. E)</t>
  </si>
  <si>
    <t xml:space="preserve">Severidad</t>
  </si>
  <si>
    <t xml:space="preserve">Clave</t>
  </si>
  <si>
    <t xml:space="preserve">Observación</t>
  </si>
  <si>
    <t xml:space="preserve">Fundamento</t>
  </si>
  <si>
    <t xml:space="preserve">Impacto fiscal</t>
  </si>
  <si>
    <t xml:space="preserve">Código (interno)</t>
  </si>
  <si>
    <t xml:space="preserve">MEDIA</t>
  </si>
  <si>
    <t xml:space="preserve">ANUAL</t>
  </si>
  <si>
    <t xml:space="preserve">El patrón timbró la prima dominical sin aplicar la exención de 1 UMA por domingo trabajado ($5,883.28 para 52 domingos al año). Falta aplicar hasta $3,733.62 de exención.</t>
  </si>
  <si>
    <t xml:space="preserve">Art. 93 fr. XIV LISR</t>
  </si>
  <si>
    <t xml:space="preserve">PRIMA_DOMINICAL_FALTANTE_EXENCION</t>
  </si>
  <si>
    <t xml:space="preserve">El patrón timbró la prima vacacional sin aplicar la exención de 15 UMA ($1,697.10). Falta aplicar hasta $68.55 de exención.</t>
  </si>
  <si>
    <t xml:space="preserve">PRIMA_VAC_FALTANTE_EXENCION</t>
  </si>
  <si>
    <t xml:space="preserve">BAJA</t>
  </si>
  <si>
    <t xml:space="preserve">No aplica el subsidio al empleo porque el trabajador tuvo dos o más patrones simultáneos durante el ejercicio. El Decreto del Subsidio al Empleo solo permite acreditar el subsidio cuando se trabaja con un solo patrón.</t>
  </si>
  <si>
    <t xml:space="preserve">Decreto Subsidio al Empleo DOF 01-may-2024 / 31-dic-2024</t>
  </si>
  <si>
    <t xml:space="preserve">SUBSIDIO_NO_PROCEDE_MULTIPLES_PATRONES_SIMULTANEOS</t>
  </si>
  <si>
    <t xml:space="preserve">ATENCIÓN: CFDIS NO CLASIFICADOS. REVISIÓN MANUAL REQUERIDA.</t>
  </si>
  <si>
    <t xml:space="preserve">Fecha</t>
  </si>
  <si>
    <t xml:space="preserve">Razon Social</t>
  </si>
  <si>
    <t xml:space="preserve">Total</t>
  </si>
  <si>
    <t xml:space="preserve">Concepto Breve</t>
  </si>
  <si>
    <t xml:space="preserve">DEMO0000-0000-0000-0000-000000000060</t>
  </si>
  <si>
    <t xml:space="preserve">BCO010101AA7</t>
  </si>
  <si>
    <t xml:space="preserve">BANCO DEMO SA INSTITUCION DE BANCA MULTIPLE GRUPO FINANCIERO DEMO</t>
  </si>
  <si>
    <t xml:space="preserve">S01</t>
  </si>
  <si>
    <t xml:space="preserve">I</t>
  </si>
  <si>
    <t xml:space="preserve">SERVICIOS BANCARIOS</t>
  </si>
  <si>
    <t xml:space="preserve">DEMO0000-0000-0000-0000-000000000061</t>
  </si>
  <si>
    <t xml:space="preserve">Servicios de facturación</t>
  </si>
  <si>
    <t xml:space="preserve">DEMO0000-0000-0000-0000-000000000062</t>
  </si>
  <si>
    <t xml:space="preserve">DEMO0000-0000-0000-0000-000000000063</t>
  </si>
  <si>
    <t xml:space="preserve">Interés gravable</t>
  </si>
  <si>
    <t xml:space="preserve">DEMO0000-0000-0000-0000-000000000064</t>
  </si>
  <si>
    <t xml:space="preserve">DEMO0000-0000-0000-0000-000000000065</t>
  </si>
  <si>
    <t xml:space="preserve">DEMO0000-0000-0000-0000-000000000066</t>
  </si>
  <si>
    <t xml:space="preserve">CONCEPTO</t>
  </si>
  <si>
    <t xml:space="preserve">DETALLE / CANTIDAD</t>
  </si>
  <si>
    <t xml:space="preserve">RECIBOS DE NOMINA</t>
  </si>
  <si>
    <t xml:space="preserve">Versión 4.0</t>
  </si>
  <si>
    <t xml:space="preserve">DEDUCCIONES PERSONALES</t>
  </si>
  <si>
    <t xml:space="preserve">CFDIS NO CLASIFICADOS (VERIFICAR)</t>
  </si>
  <si>
    <t xml:space="preserve">ARCHIVOS OMITIDOS (DIRIGIDOS A OTRO RFC)</t>
  </si>
</sst>
</file>

<file path=xl/styles.xml><?xml version="1.0" encoding="utf-8"?>
<styleSheet xmlns="http://schemas.openxmlformats.org/spreadsheetml/2006/main">
  <numFmts count="7">
    <numFmt numFmtId="164" formatCode="#,##0.00"/>
    <numFmt numFmtId="165" formatCode="&quot;$ &quot;#,##0.00"/>
    <numFmt numFmtId="166" formatCode="General"/>
    <numFmt numFmtId="167" formatCode="dd/mm/yyyy"/>
    <numFmt numFmtId="168" formatCode="0"/>
    <numFmt numFmtId="169" formatCode="0.00%"/>
    <numFmt numFmtId="170" formatCode="0.0000"/>
  </numFmts>
  <fonts count="37">
    <font>
      <sz val="11"/>
      <color theme="1"/>
      <name val="Calibri"/>
      <family val="2"/>
      <charset val="1"/>
    </font>
    <font>
      <sz val="10"/>
      <name val="Arial"/>
      <family val="0"/>
    </font>
    <font>
      <sz val="10"/>
      <name val="Arial"/>
      <family val="0"/>
    </font>
    <font>
      <sz val="10"/>
      <name val="Arial"/>
      <family val="0"/>
    </font>
    <font>
      <b val="true"/>
      <sz val="18"/>
      <color rgb="FF4472C4"/>
      <name val="Calibri"/>
      <family val="2"/>
      <charset val="1"/>
    </font>
    <font>
      <b val="true"/>
      <sz val="12"/>
      <color rgb="FFFFFFFF"/>
      <name val="Calibri"/>
      <family val="2"/>
      <charset val="1"/>
    </font>
    <font>
      <b val="true"/>
      <sz val="11"/>
      <color theme="1"/>
      <name val="Calibri"/>
      <family val="2"/>
      <charset val="1"/>
    </font>
    <font>
      <i val="true"/>
      <sz val="9"/>
      <color rgb="FF595959"/>
      <name val="Calibri"/>
      <family val="2"/>
      <charset val="1"/>
    </font>
    <font>
      <b val="true"/>
      <sz val="10"/>
      <color rgb="FF1F3864"/>
      <name val="Calibri"/>
      <family val="2"/>
      <charset val="1"/>
    </font>
    <font>
      <b val="true"/>
      <sz val="11"/>
      <color rgb="FF1F3864"/>
      <name val="Calibri"/>
      <family val="2"/>
      <charset val="1"/>
    </font>
    <font>
      <b val="true"/>
      <sz val="10"/>
      <color theme="1"/>
      <name val="Calibri"/>
      <family val="2"/>
      <charset val="1"/>
    </font>
    <font>
      <sz val="10"/>
      <color theme="1"/>
      <name val="Calibri"/>
      <family val="2"/>
      <charset val="1"/>
    </font>
    <font>
      <b val="true"/>
      <sz val="9"/>
      <color rgb="FFFFFFFF"/>
      <name val="Calibri"/>
      <family val="2"/>
      <charset val="1"/>
    </font>
    <font>
      <b val="true"/>
      <sz val="9"/>
      <color rgb="FF000000"/>
      <name val="Calibri"/>
      <family val="2"/>
      <charset val="1"/>
    </font>
    <font>
      <b val="true"/>
      <sz val="9"/>
      <color theme="1"/>
      <name val="Calibri"/>
      <family val="2"/>
      <charset val="1"/>
    </font>
    <font>
      <b val="true"/>
      <i val="true"/>
      <sz val="9"/>
      <color rgb="FF1F3864"/>
      <name val="Calibri"/>
      <family val="2"/>
      <charset val="1"/>
    </font>
    <font>
      <sz val="9"/>
      <color theme="1"/>
      <name val="Calibri"/>
      <family val="2"/>
      <charset val="1"/>
    </font>
    <font>
      <b val="true"/>
      <sz val="15"/>
      <color rgb="FFFFFFFF"/>
      <name val="Calibri"/>
      <family val="2"/>
      <charset val="1"/>
    </font>
    <font>
      <b val="true"/>
      <sz val="14"/>
      <color rgb="FFFFFFFF"/>
      <name val="Calibri"/>
      <family val="2"/>
      <charset val="1"/>
    </font>
    <font>
      <b val="true"/>
      <sz val="10"/>
      <color rgb="FFFFFFFF"/>
      <name val="Calibri"/>
      <family val="2"/>
      <charset val="1"/>
    </font>
    <font>
      <b val="true"/>
      <sz val="10"/>
      <color rgb="FF000000"/>
      <name val="Calibri"/>
      <family val="2"/>
      <charset val="1"/>
    </font>
    <font>
      <b val="true"/>
      <sz val="11"/>
      <color rgb="FFFFFFFF"/>
      <name val="Calibri"/>
      <family val="2"/>
      <charset val="1"/>
    </font>
    <font>
      <b val="true"/>
      <i val="true"/>
      <sz val="10"/>
      <color rgb="FF1F3864"/>
      <name val="Calibri"/>
      <family val="2"/>
      <charset val="1"/>
    </font>
    <font>
      <b val="true"/>
      <sz val="10"/>
      <color rgb="FF9C5700"/>
      <name val="Calibri"/>
      <family val="2"/>
      <charset val="1"/>
    </font>
    <font>
      <b val="true"/>
      <sz val="10"/>
      <color rgb="FF385723"/>
      <name val="Calibri"/>
      <family val="2"/>
      <charset val="1"/>
    </font>
    <font>
      <sz val="10"/>
      <color rgb="FF9C5700"/>
      <name val="Calibri"/>
      <family val="2"/>
      <charset val="1"/>
    </font>
    <font>
      <b val="true"/>
      <sz val="11"/>
      <color rgb="FF9C5700"/>
      <name val="Calibri"/>
      <family val="2"/>
      <charset val="1"/>
    </font>
    <font>
      <sz val="10"/>
      <color rgb="FF7F7F7F"/>
      <name val="Calibri"/>
      <family val="2"/>
      <charset val="1"/>
    </font>
    <font>
      <b val="true"/>
      <sz val="10"/>
      <color rgb="FF548235"/>
      <name val="Calibri"/>
      <family val="2"/>
      <charset val="1"/>
    </font>
    <font>
      <b val="true"/>
      <sz val="10"/>
      <color rgb="FFC00000"/>
      <name val="Calibri"/>
      <family val="2"/>
      <charset val="1"/>
    </font>
    <font>
      <sz val="9"/>
      <color rgb="FF9C5700"/>
      <name val="Calibri"/>
      <family val="2"/>
      <charset val="1"/>
    </font>
    <font>
      <b val="true"/>
      <i val="true"/>
      <sz val="10"/>
      <color theme="1"/>
      <name val="Calibri"/>
      <family val="2"/>
      <charset val="1"/>
    </font>
    <font>
      <b val="true"/>
      <sz val="10"/>
      <color rgb="FF2E7D32"/>
      <name val="Calibri"/>
      <family val="2"/>
      <charset val="1"/>
    </font>
    <font>
      <b val="true"/>
      <sz val="10"/>
      <color rgb="FFC62828"/>
      <name val="Calibri"/>
      <family val="2"/>
      <charset val="1"/>
    </font>
    <font>
      <i val="true"/>
      <sz val="9"/>
      <color theme="1"/>
      <name val="Calibri"/>
      <family val="2"/>
      <charset val="1"/>
    </font>
    <font>
      <b val="true"/>
      <sz val="14"/>
      <color rgb="FF9C0006"/>
      <name val="Calibri"/>
      <family val="2"/>
      <charset val="1"/>
    </font>
    <font>
      <sz val="9"/>
      <color rgb="FF7F7F7F"/>
      <name val="Consolas"/>
      <family val="2"/>
      <charset val="1"/>
    </font>
  </fonts>
  <fills count="28">
    <fill>
      <patternFill patternType="none"/>
    </fill>
    <fill>
      <patternFill patternType="gray125"/>
    </fill>
    <fill>
      <patternFill patternType="solid">
        <fgColor rgb="FF4472C4"/>
        <bgColor rgb="FF2F5496"/>
      </patternFill>
    </fill>
    <fill>
      <patternFill patternType="solid">
        <fgColor rgb="FFF2F2F2"/>
        <bgColor rgb="FFF5F5F5"/>
      </patternFill>
    </fill>
    <fill>
      <patternFill patternType="solid">
        <fgColor rgb="FFD9E1F2"/>
        <bgColor rgb="FFDDEBF7"/>
      </patternFill>
    </fill>
    <fill>
      <patternFill patternType="solid">
        <fgColor rgb="FFDDEBF7"/>
        <bgColor rgb="FFD9E1F2"/>
      </patternFill>
    </fill>
    <fill>
      <patternFill patternType="solid">
        <fgColor rgb="FFD9D9D9"/>
        <bgColor rgb="FFD9E1F2"/>
      </patternFill>
    </fill>
    <fill>
      <patternFill patternType="solid">
        <fgColor rgb="FFEDEDED"/>
        <bgColor rgb="FFF2F2F2"/>
      </patternFill>
    </fill>
    <fill>
      <patternFill patternType="solid">
        <fgColor rgb="FFFCE4D6"/>
        <bgColor rgb="FFFFF2CC"/>
      </patternFill>
    </fill>
    <fill>
      <patternFill patternType="solid">
        <fgColor rgb="FFE2EFDA"/>
        <bgColor rgb="FFE7E6E6"/>
      </patternFill>
    </fill>
    <fill>
      <patternFill patternType="solid">
        <fgColor rgb="FFFFFFFF"/>
        <bgColor rgb="FFFAFAFA"/>
      </patternFill>
    </fill>
    <fill>
      <patternFill patternType="solid">
        <fgColor rgb="FF1F3864"/>
        <bgColor rgb="FF2F5496"/>
      </patternFill>
    </fill>
    <fill>
      <patternFill patternType="solid">
        <fgColor rgb="FF2F5496"/>
        <bgColor rgb="FF1F3864"/>
      </patternFill>
    </fill>
    <fill>
      <patternFill patternType="solid">
        <fgColor rgb="FF8EA9DB"/>
        <bgColor rgb="FF5B9BD5"/>
      </patternFill>
    </fill>
    <fill>
      <patternFill patternType="solid">
        <fgColor rgb="FFFFD966"/>
        <bgColor rgb="FFFFE699"/>
      </patternFill>
    </fill>
    <fill>
      <patternFill patternType="solid">
        <fgColor rgb="FFFFF2CC"/>
        <bgColor rgb="FFFFF8E1"/>
      </patternFill>
    </fill>
    <fill>
      <patternFill patternType="solid">
        <fgColor rgb="FFC00000"/>
        <bgColor rgb="FF9C0006"/>
      </patternFill>
    </fill>
    <fill>
      <patternFill patternType="solid">
        <fgColor rgb="FFFFE699"/>
        <bgColor rgb="FFFFEB9C"/>
      </patternFill>
    </fill>
    <fill>
      <patternFill patternType="solid">
        <fgColor rgb="FFE7E6E6"/>
        <bgColor rgb="FFEDEDED"/>
      </patternFill>
    </fill>
    <fill>
      <patternFill patternType="solid">
        <fgColor rgb="FF7030A0"/>
        <bgColor rgb="FF800080"/>
      </patternFill>
    </fill>
    <fill>
      <patternFill patternType="solid">
        <fgColor rgb="FFF4F0FA"/>
        <bgColor rgb="FFF2F2F2"/>
      </patternFill>
    </fill>
    <fill>
      <patternFill patternType="solid">
        <fgColor rgb="FFFAFAFA"/>
        <bgColor rgb="FFFFFFFF"/>
      </patternFill>
    </fill>
    <fill>
      <patternFill patternType="solid">
        <fgColor rgb="FF5B9BD5"/>
        <bgColor rgb="FF8EA9DB"/>
      </patternFill>
    </fill>
    <fill>
      <patternFill patternType="solid">
        <fgColor rgb="FFEAF1FB"/>
        <bgColor rgb="FFF2F2F2"/>
      </patternFill>
    </fill>
    <fill>
      <patternFill patternType="solid">
        <fgColor rgb="FFF5F5F5"/>
        <bgColor rgb="FFF2F2F2"/>
      </patternFill>
    </fill>
    <fill>
      <patternFill patternType="solid">
        <fgColor rgb="FFFFF8E1"/>
        <bgColor rgb="FFFFF2CC"/>
      </patternFill>
    </fill>
    <fill>
      <patternFill patternType="solid">
        <fgColor rgb="FFFFEB9C"/>
        <bgColor rgb="FFFFE699"/>
      </patternFill>
    </fill>
    <fill>
      <patternFill patternType="solid">
        <fgColor rgb="FFA9D08E"/>
        <bgColor rgb="FFCCCCCC"/>
      </patternFill>
    </fill>
  </fills>
  <borders count="6">
    <border diagonalUp="false" diagonalDown="false">
      <left/>
      <right/>
      <top/>
      <bottom/>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style="thin">
        <color rgb="FFCCCCCC"/>
      </left>
      <right style="thin">
        <color rgb="FFCCCCCC"/>
      </right>
      <top style="thin">
        <color rgb="FFCCCCCC"/>
      </top>
      <bottom style="thin">
        <color rgb="FFCCCCCC"/>
      </bottom>
      <diagonal/>
    </border>
    <border diagonalUp="false" diagonalDown="false">
      <left style="medium">
        <color rgb="FFBF8F00"/>
      </left>
      <right style="medium">
        <color rgb="FFBF8F00"/>
      </right>
      <top style="medium">
        <color rgb="FFBF8F00"/>
      </top>
      <bottom style="medium">
        <color rgb="FFBF8F00"/>
      </bottom>
      <diagonal/>
    </border>
    <border diagonalUp="false" diagonalDown="false">
      <left style="thin">
        <color rgb="FFBF8F00"/>
      </left>
      <right style="thin">
        <color rgb="FFBF8F00"/>
      </right>
      <top style="thin">
        <color rgb="FFBF8F00"/>
      </top>
      <bottom style="thin">
        <color rgb="FFBF8F00"/>
      </bottom>
      <diagonal/>
    </border>
  </borders>
  <cellStyleXfs count="20">
    <xf numFmtId="166"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22">
    <xf numFmtId="166" fontId="0" fillId="0" borderId="0" xfId="0" applyFont="false" applyBorder="false" applyAlignment="false" applyProtection="false">
      <alignment horizontal="general" vertical="bottom" textRotation="0" wrapText="false" indent="0" shrinkToFit="false"/>
      <protection locked="true" hidden="false"/>
    </xf>
    <xf numFmtId="166" fontId="0" fillId="0" borderId="0" xfId="0" applyFont="false" applyBorder="false" applyAlignment="true" applyProtection="false">
      <alignment horizontal="general" vertical="bottom" textRotation="0" wrapText="false" indent="0" shrinkToFit="false"/>
      <protection locked="true" hidden="false"/>
    </xf>
    <xf numFmtId="166" fontId="4" fillId="0" borderId="0" xfId="0" applyFont="true" applyBorder="true" applyAlignment="true" applyProtection="false">
      <alignment horizontal="center" vertical="center" textRotation="0" wrapText="false" indent="0" shrinkToFit="true"/>
      <protection locked="true" hidden="false"/>
    </xf>
    <xf numFmtId="166" fontId="5" fillId="2" borderId="1" xfId="0" applyFont="true" applyBorder="true" applyAlignment="true" applyProtection="false">
      <alignment horizontal="left" vertical="bottom" textRotation="0" wrapText="false" indent="0" shrinkToFit="false"/>
      <protection locked="true" hidden="false"/>
    </xf>
    <xf numFmtId="166" fontId="6" fillId="3" borderId="1" xfId="0" applyFont="true" applyBorder="true" applyAlignment="true" applyProtection="false">
      <alignment horizontal="left" vertical="bottom" textRotation="0" wrapText="false" indent="0" shrinkToFit="false"/>
      <protection locked="true" hidden="false"/>
    </xf>
    <xf numFmtId="166" fontId="0" fillId="0" borderId="1" xfId="0" applyFont="true" applyBorder="true" applyAlignment="true" applyProtection="false">
      <alignment horizontal="left" vertical="bottom" textRotation="0" wrapText="false" indent="0" shrinkToFit="false"/>
      <protection locked="true" hidden="false"/>
    </xf>
    <xf numFmtId="165" fontId="6" fillId="0" borderId="1" xfId="0" applyFont="true" applyBorder="true" applyAlignment="true" applyProtection="false">
      <alignment horizontal="right" vertical="bottom" textRotation="0" wrapText="false" indent="0" shrinkToFit="false"/>
      <protection locked="true" hidden="false"/>
    </xf>
    <xf numFmtId="166" fontId="7" fillId="0" borderId="0" xfId="0" applyFont="true" applyBorder="true" applyAlignment="true" applyProtection="false">
      <alignment horizontal="left" vertical="center" textRotation="0" wrapText="true" indent="1" shrinkToFit="false"/>
      <protection locked="true" hidden="false"/>
    </xf>
    <xf numFmtId="166" fontId="8" fillId="4" borderId="1" xfId="0" applyFont="true" applyBorder="true" applyAlignment="true" applyProtection="false">
      <alignment horizontal="left" vertical="bottom" textRotation="0" wrapText="false" indent="1" shrinkToFit="false"/>
      <protection locked="true" hidden="false"/>
    </xf>
    <xf numFmtId="166" fontId="9" fillId="5" borderId="2" xfId="0" applyFont="true" applyBorder="true" applyAlignment="true" applyProtection="false">
      <alignment horizontal="left" vertical="top" textRotation="0" wrapText="false" indent="1" shrinkToFit="false"/>
      <protection locked="true" hidden="false"/>
    </xf>
    <xf numFmtId="165" fontId="9" fillId="5" borderId="2" xfId="0" applyFont="true" applyBorder="true" applyAlignment="true" applyProtection="false">
      <alignment horizontal="right" vertical="bottom" textRotation="0" wrapText="false" indent="0" shrinkToFit="false"/>
      <protection locked="true" hidden="false"/>
    </xf>
    <xf numFmtId="166" fontId="10" fillId="3" borderId="1" xfId="0" applyFont="true" applyBorder="true" applyAlignment="true" applyProtection="false">
      <alignment horizontal="left" vertical="top" textRotation="0" wrapText="false" indent="1" shrinkToFit="false"/>
      <protection locked="true" hidden="false"/>
    </xf>
    <xf numFmtId="166" fontId="11" fillId="0" borderId="1" xfId="0" applyFont="true" applyBorder="true" applyAlignment="true" applyProtection="false">
      <alignment horizontal="left" vertical="top" textRotation="0" wrapText="true" indent="0" shrinkToFit="false"/>
      <protection locked="true" hidden="false"/>
    </xf>
    <xf numFmtId="166" fontId="7" fillId="0" borderId="1" xfId="0" applyFont="true" applyBorder="true" applyAlignment="true" applyProtection="false">
      <alignment horizontal="left" vertical="top" textRotation="0" wrapText="true" indent="0" shrinkToFit="false"/>
      <protection locked="true" hidden="false"/>
    </xf>
    <xf numFmtId="166" fontId="10" fillId="3" borderId="1" xfId="0" applyFont="true" applyBorder="true" applyAlignment="true" applyProtection="false">
      <alignment horizontal="left" vertical="top" textRotation="0" wrapText="false" indent="0" shrinkToFit="false"/>
      <protection locked="true" hidden="false"/>
    </xf>
    <xf numFmtId="166" fontId="12" fillId="2" borderId="1" xfId="0" applyFont="true" applyBorder="true" applyAlignment="true" applyProtection="false">
      <alignment horizontal="center" vertical="center" textRotation="0" wrapText="false" indent="0" shrinkToFit="false"/>
      <protection locked="true" hidden="false"/>
    </xf>
    <xf numFmtId="166" fontId="13" fillId="5" borderId="1" xfId="0" applyFont="true" applyBorder="true" applyAlignment="true" applyProtection="false">
      <alignment horizontal="center" vertical="center" textRotation="0" wrapText="false" indent="0" shrinkToFit="false"/>
      <protection locked="true" hidden="false"/>
    </xf>
    <xf numFmtId="166" fontId="14" fillId="6" borderId="1" xfId="0" applyFont="true" applyBorder="true" applyAlignment="true" applyProtection="false">
      <alignment horizontal="center" vertical="center" textRotation="0" wrapText="true" indent="0" shrinkToFit="false"/>
      <protection locked="true" hidden="false"/>
    </xf>
    <xf numFmtId="166" fontId="13" fillId="7" borderId="1" xfId="0" applyFont="true" applyBorder="true" applyAlignment="true" applyProtection="false">
      <alignment horizontal="center" vertical="center" textRotation="0" wrapText="false" indent="0" shrinkToFit="false"/>
      <protection locked="true" hidden="false"/>
    </xf>
    <xf numFmtId="166" fontId="13" fillId="8" borderId="1" xfId="0" applyFont="true" applyBorder="true" applyAlignment="true" applyProtection="false">
      <alignment horizontal="center" vertical="center" textRotation="0" wrapText="false" indent="0" shrinkToFit="false"/>
      <protection locked="true" hidden="false"/>
    </xf>
    <xf numFmtId="166" fontId="13" fillId="9" borderId="1" xfId="0" applyFont="true" applyBorder="true" applyAlignment="true" applyProtection="false">
      <alignment horizontal="center" vertical="center" textRotation="0" wrapText="false" indent="0" shrinkToFit="false"/>
      <protection locked="true" hidden="false"/>
    </xf>
    <xf numFmtId="166" fontId="15" fillId="5" borderId="1" xfId="0" applyFont="true" applyBorder="true" applyAlignment="true" applyProtection="false">
      <alignment horizontal="center" vertical="center" textRotation="0" wrapText="false" indent="0" shrinkToFit="false"/>
      <protection locked="true" hidden="false"/>
    </xf>
    <xf numFmtId="166" fontId="15" fillId="7" borderId="1" xfId="0" applyFont="true" applyBorder="true" applyAlignment="true" applyProtection="false">
      <alignment horizontal="center" vertical="center" textRotation="0" wrapText="false" indent="0" shrinkToFit="false"/>
      <protection locked="true" hidden="false"/>
    </xf>
    <xf numFmtId="166" fontId="15" fillId="8" borderId="1" xfId="0" applyFont="true" applyBorder="true" applyAlignment="true" applyProtection="false">
      <alignment horizontal="center" vertical="center" textRotation="0" wrapText="false" indent="0" shrinkToFit="false"/>
      <protection locked="true" hidden="false"/>
    </xf>
    <xf numFmtId="166" fontId="15" fillId="9" borderId="1" xfId="0" applyFont="true" applyBorder="true" applyAlignment="true" applyProtection="false">
      <alignment horizontal="center" vertical="center" textRotation="0" wrapText="false" indent="0" shrinkToFit="false"/>
      <protection locked="true" hidden="false"/>
    </xf>
    <xf numFmtId="166" fontId="8" fillId="5" borderId="1" xfId="0" applyFont="true" applyBorder="true" applyAlignment="true" applyProtection="false">
      <alignment horizontal="center" vertical="center" textRotation="0" wrapText="false" indent="0" shrinkToFit="false"/>
      <protection locked="true" hidden="false"/>
    </xf>
    <xf numFmtId="166" fontId="8" fillId="7" borderId="1" xfId="0" applyFont="true" applyBorder="true" applyAlignment="true" applyProtection="false">
      <alignment horizontal="center" vertical="center" textRotation="0" wrapText="false" indent="0" shrinkToFit="false"/>
      <protection locked="true" hidden="false"/>
    </xf>
    <xf numFmtId="166" fontId="8" fillId="8" borderId="1" xfId="0" applyFont="true" applyBorder="true" applyAlignment="true" applyProtection="false">
      <alignment horizontal="center" vertical="center" textRotation="0" wrapText="false" indent="0" shrinkToFit="false"/>
      <protection locked="true" hidden="false"/>
    </xf>
    <xf numFmtId="166" fontId="8" fillId="9" borderId="1" xfId="0" applyFont="true" applyBorder="true" applyAlignment="true" applyProtection="false">
      <alignment horizontal="center" vertical="center" textRotation="0" wrapText="false" indent="0" shrinkToFit="false"/>
      <protection locked="true" hidden="false"/>
    </xf>
    <xf numFmtId="166" fontId="14" fillId="10" borderId="1" xfId="0" applyFont="true" applyBorder="true" applyAlignment="true" applyProtection="false">
      <alignment horizontal="center" vertical="center" textRotation="0" wrapText="true" indent="0" shrinkToFit="false"/>
      <protection locked="true" hidden="false"/>
    </xf>
    <xf numFmtId="166" fontId="14" fillId="5" borderId="1" xfId="0" applyFont="true" applyBorder="true" applyAlignment="true" applyProtection="false">
      <alignment horizontal="center" vertical="center" textRotation="0" wrapText="true" indent="0" shrinkToFit="false"/>
      <protection locked="true" hidden="false"/>
    </xf>
    <xf numFmtId="166" fontId="14" fillId="7" borderId="1" xfId="0" applyFont="true" applyBorder="true" applyAlignment="true" applyProtection="false">
      <alignment horizontal="center" vertical="center" textRotation="0" wrapText="true" indent="0" shrinkToFit="false"/>
      <protection locked="true" hidden="false"/>
    </xf>
    <xf numFmtId="166" fontId="14" fillId="8" borderId="1" xfId="0" applyFont="true" applyBorder="true" applyAlignment="true" applyProtection="false">
      <alignment horizontal="center" vertical="center" textRotation="0" wrapText="true" indent="0" shrinkToFit="false"/>
      <protection locked="true" hidden="false"/>
    </xf>
    <xf numFmtId="166" fontId="14" fillId="9" borderId="1" xfId="0" applyFont="true" applyBorder="true" applyAlignment="true" applyProtection="false">
      <alignment horizontal="center" vertical="center" textRotation="0" wrapText="true" indent="0" shrinkToFit="false"/>
      <protection locked="true" hidden="false"/>
    </xf>
    <xf numFmtId="166" fontId="16" fillId="0" borderId="0" xfId="0" applyFont="true" applyBorder="false" applyAlignment="true" applyProtection="false">
      <alignment horizontal="center" vertical="center" textRotation="0" wrapText="false" indent="0" shrinkToFit="false"/>
      <protection locked="true" hidden="false"/>
    </xf>
    <xf numFmtId="166" fontId="16" fillId="0" borderId="0" xfId="0" applyFont="true" applyBorder="false" applyAlignment="true" applyProtection="false">
      <alignment horizontal="left" vertical="center" textRotation="0" wrapText="false" indent="0" shrinkToFit="false"/>
      <protection locked="true" hidden="false"/>
    </xf>
    <xf numFmtId="167" fontId="16" fillId="0" borderId="0" xfId="0" applyFont="true" applyBorder="false" applyAlignment="true" applyProtection="false">
      <alignment horizontal="center"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6" fontId="6" fillId="6" borderId="0" xfId="0" applyFont="true" applyBorder="false" applyAlignment="true" applyProtection="false">
      <alignment horizontal="left" vertical="center" textRotation="0" wrapText="false" indent="0" shrinkToFit="false"/>
      <protection locked="true" hidden="false"/>
    </xf>
    <xf numFmtId="164" fontId="6" fillId="6" borderId="0" xfId="0" applyFont="true" applyBorder="false" applyAlignment="true" applyProtection="false">
      <alignment horizontal="general" vertical="bottom" textRotation="0" wrapText="false" indent="0" shrinkToFit="false"/>
      <protection locked="true" hidden="false"/>
    </xf>
    <xf numFmtId="166" fontId="17" fillId="11" borderId="1" xfId="0" applyFont="true" applyBorder="true" applyAlignment="true" applyProtection="false">
      <alignment horizontal="center" vertical="center" textRotation="0" wrapText="false" indent="0" shrinkToFit="false"/>
      <protection locked="true" hidden="false"/>
    </xf>
    <xf numFmtId="166" fontId="10" fillId="4" borderId="1" xfId="0" applyFont="true" applyBorder="true" applyAlignment="true" applyProtection="false">
      <alignment horizontal="left" vertical="center" textRotation="0" wrapText="false" indent="1" shrinkToFit="false"/>
      <protection locked="true" hidden="false"/>
    </xf>
    <xf numFmtId="166" fontId="11" fillId="0" borderId="1" xfId="0" applyFont="true" applyBorder="true" applyAlignment="true" applyProtection="false">
      <alignment horizontal="left" vertical="center" textRotation="0" wrapText="false" indent="1" shrinkToFit="false"/>
      <protection locked="true" hidden="false"/>
    </xf>
    <xf numFmtId="166" fontId="5" fillId="12" borderId="1" xfId="0" applyFont="true" applyBorder="true" applyAlignment="true" applyProtection="false">
      <alignment horizontal="left" vertical="center" textRotation="0" wrapText="false" indent="1" shrinkToFit="false"/>
      <protection locked="true" hidden="false"/>
    </xf>
    <xf numFmtId="166" fontId="10" fillId="5" borderId="1" xfId="0" applyFont="true" applyBorder="true" applyAlignment="true" applyProtection="false">
      <alignment horizontal="left" vertical="center" textRotation="0" wrapText="false" indent="1" shrinkToFit="false"/>
      <protection locked="true" hidden="false"/>
    </xf>
    <xf numFmtId="165" fontId="10" fillId="5" borderId="1" xfId="0" applyFont="true" applyBorder="true" applyAlignment="true" applyProtection="false">
      <alignment horizontal="right" vertical="center" textRotation="0" wrapText="false" indent="0" shrinkToFit="false"/>
      <protection locked="true" hidden="false"/>
    </xf>
    <xf numFmtId="166" fontId="11" fillId="0" borderId="1" xfId="0" applyFont="true" applyBorder="true" applyAlignment="true" applyProtection="false">
      <alignment horizontal="left" vertical="center" textRotation="0" wrapText="false" indent="3" shrinkToFit="false"/>
      <protection locked="true" hidden="false"/>
    </xf>
    <xf numFmtId="165" fontId="11" fillId="0" borderId="1" xfId="0" applyFont="true" applyBorder="true" applyAlignment="true" applyProtection="false">
      <alignment horizontal="right" vertical="center" textRotation="0" wrapText="false" indent="0" shrinkToFit="false"/>
      <protection locked="true" hidden="false"/>
    </xf>
    <xf numFmtId="166" fontId="7" fillId="3" borderId="1" xfId="0" applyFont="true" applyBorder="true" applyAlignment="true" applyProtection="false">
      <alignment horizontal="left" vertical="center" textRotation="0" wrapText="false" indent="2" shrinkToFit="false"/>
      <protection locked="true" hidden="false"/>
    </xf>
    <xf numFmtId="168" fontId="11" fillId="0" borderId="1" xfId="0" applyFont="true" applyBorder="true" applyAlignment="true" applyProtection="false">
      <alignment horizontal="right" vertical="center" textRotation="0" wrapText="false" indent="0" shrinkToFit="false"/>
      <protection locked="true" hidden="false"/>
    </xf>
    <xf numFmtId="166" fontId="18" fillId="11" borderId="1" xfId="0" applyFont="true" applyBorder="true" applyAlignment="true" applyProtection="false">
      <alignment horizontal="center" vertical="center" textRotation="0" wrapText="false" indent="0" shrinkToFit="false"/>
      <protection locked="true" hidden="false"/>
    </xf>
    <xf numFmtId="166" fontId="19" fillId="2" borderId="1" xfId="0" applyFont="true" applyBorder="true" applyAlignment="true" applyProtection="false">
      <alignment horizontal="center" vertical="center" textRotation="0" wrapText="false" indent="0" shrinkToFit="false"/>
      <protection locked="true" hidden="false"/>
    </xf>
    <xf numFmtId="166" fontId="19" fillId="2" borderId="1" xfId="0" applyFont="true" applyBorder="true" applyAlignment="true" applyProtection="false">
      <alignment horizontal="center" vertical="center" textRotation="0" wrapText="true" indent="0" shrinkToFit="false"/>
      <protection locked="true" hidden="false"/>
    </xf>
    <xf numFmtId="166" fontId="12" fillId="13" borderId="1" xfId="0" applyFont="true" applyBorder="true" applyAlignment="true" applyProtection="false">
      <alignment horizontal="center" vertical="center" textRotation="0" wrapText="true" indent="0" shrinkToFit="false"/>
      <protection locked="true" hidden="false"/>
    </xf>
    <xf numFmtId="166" fontId="10" fillId="3" borderId="1" xfId="0" applyFont="true" applyBorder="true" applyAlignment="true" applyProtection="false">
      <alignment horizontal="left" vertical="center" textRotation="0" wrapText="false" indent="1" shrinkToFit="false"/>
      <protection locked="true" hidden="false"/>
    </xf>
    <xf numFmtId="165" fontId="11" fillId="0" borderId="1" xfId="0" applyFont="true" applyBorder="true" applyAlignment="true" applyProtection="false">
      <alignment horizontal="right" vertical="bottom" textRotation="0" wrapText="false" indent="0" shrinkToFit="false"/>
      <protection locked="true" hidden="false"/>
    </xf>
    <xf numFmtId="165" fontId="10" fillId="5" borderId="2" xfId="0" applyFont="true" applyBorder="true" applyAlignment="true" applyProtection="false">
      <alignment horizontal="right" vertical="bottom" textRotation="0" wrapText="false" indent="0" shrinkToFit="false"/>
      <protection locked="true" hidden="false"/>
    </xf>
    <xf numFmtId="166" fontId="20" fillId="14" borderId="1" xfId="0" applyFont="true" applyBorder="true" applyAlignment="true" applyProtection="false">
      <alignment horizontal="center" vertical="center" textRotation="0" wrapText="true" indent="0" shrinkToFit="false"/>
      <protection locked="true" hidden="false"/>
    </xf>
    <xf numFmtId="166" fontId="11" fillId="0" borderId="1" xfId="0" applyFont="true" applyBorder="true" applyAlignment="true" applyProtection="false">
      <alignment horizontal="center" vertical="center" textRotation="0" wrapText="false" indent="0" shrinkToFit="false"/>
      <protection locked="true" hidden="false"/>
    </xf>
    <xf numFmtId="167" fontId="11" fillId="0" borderId="1" xfId="0" applyFont="true" applyBorder="true" applyAlignment="true" applyProtection="false">
      <alignment horizontal="center" vertical="bottom" textRotation="0" wrapText="false" indent="0" shrinkToFit="false"/>
      <protection locked="true" hidden="false"/>
    </xf>
    <xf numFmtId="166" fontId="11" fillId="0" borderId="1" xfId="0" applyFont="true" applyBorder="true" applyAlignment="true" applyProtection="false">
      <alignment horizontal="left" vertical="center" textRotation="0" wrapText="false" indent="0" shrinkToFit="false"/>
      <protection locked="true" hidden="false"/>
    </xf>
    <xf numFmtId="167" fontId="11" fillId="15" borderId="1" xfId="0" applyFont="true" applyBorder="true" applyAlignment="true" applyProtection="false">
      <alignment horizontal="center" vertical="bottom" textRotation="0" wrapText="false" indent="0" shrinkToFit="false"/>
      <protection locked="true" hidden="false"/>
    </xf>
    <xf numFmtId="166" fontId="11" fillId="15" borderId="1" xfId="0" applyFont="true" applyBorder="true" applyAlignment="true" applyProtection="false">
      <alignment horizontal="left" vertical="bottom" textRotation="0" wrapText="false" indent="0" shrinkToFit="false"/>
      <protection locked="true" hidden="false"/>
    </xf>
    <xf numFmtId="166" fontId="6" fillId="5" borderId="2" xfId="0" applyFont="true" applyBorder="true" applyAlignment="true" applyProtection="false">
      <alignment horizontal="right" vertical="center" textRotation="0" wrapText="false" indent="0" shrinkToFit="false"/>
      <protection locked="true" hidden="false"/>
    </xf>
    <xf numFmtId="165" fontId="6" fillId="5" borderId="2" xfId="0" applyFont="true" applyBorder="true" applyAlignment="true" applyProtection="false">
      <alignment horizontal="right" vertical="bottom" textRotation="0" wrapText="false" indent="0" shrinkToFit="false"/>
      <protection locked="true" hidden="false"/>
    </xf>
    <xf numFmtId="166" fontId="21" fillId="12" borderId="1" xfId="0" applyFont="true" applyBorder="true" applyAlignment="true" applyProtection="false">
      <alignment horizontal="left" vertical="center" textRotation="0" wrapText="false" indent="1" shrinkToFit="false"/>
      <protection locked="true" hidden="false"/>
    </xf>
    <xf numFmtId="166" fontId="22" fillId="4" borderId="1" xfId="0" applyFont="true" applyBorder="true" applyAlignment="true" applyProtection="false">
      <alignment horizontal="left" vertical="center" textRotation="0" wrapText="false" indent="1" shrinkToFit="false"/>
      <protection locked="true" hidden="false"/>
    </xf>
    <xf numFmtId="166" fontId="9" fillId="5" borderId="2" xfId="0" applyFont="true" applyBorder="true" applyAlignment="true" applyProtection="false">
      <alignment horizontal="left" vertical="center" textRotation="0" wrapText="false" indent="1" shrinkToFit="false"/>
      <protection locked="true" hidden="false"/>
    </xf>
    <xf numFmtId="165" fontId="5" fillId="11" borderId="2" xfId="0" applyFont="true" applyBorder="true" applyAlignment="true" applyProtection="false">
      <alignment horizontal="right" vertical="bottom" textRotation="0" wrapText="false" indent="0" shrinkToFit="false"/>
      <protection locked="true" hidden="false"/>
    </xf>
    <xf numFmtId="166" fontId="19" fillId="13" borderId="1" xfId="0" applyFont="true" applyBorder="true" applyAlignment="true" applyProtection="false">
      <alignment horizontal="center" vertical="center" textRotation="0" wrapText="false" indent="0" shrinkToFit="false"/>
      <protection locked="true" hidden="false"/>
    </xf>
    <xf numFmtId="166" fontId="21" fillId="16" borderId="1" xfId="0" applyFont="true" applyBorder="true" applyAlignment="true" applyProtection="false">
      <alignment horizontal="center" vertical="center" textRotation="0" wrapText="false" indent="0" shrinkToFit="false"/>
      <protection locked="true" hidden="false"/>
    </xf>
    <xf numFmtId="166" fontId="10" fillId="0" borderId="1" xfId="0" applyFont="true" applyBorder="true" applyAlignment="true" applyProtection="false">
      <alignment horizontal="left" vertical="center" textRotation="0" wrapText="false" indent="1" shrinkToFit="false"/>
      <protection locked="true" hidden="false"/>
    </xf>
    <xf numFmtId="165" fontId="10" fillId="17" borderId="1" xfId="0" applyFont="true" applyBorder="true" applyAlignment="true" applyProtection="false">
      <alignment horizontal="right" vertical="bottom" textRotation="0" wrapText="false" indent="0" shrinkToFit="false"/>
      <protection locked="true" hidden="false"/>
    </xf>
    <xf numFmtId="166" fontId="22" fillId="5" borderId="1" xfId="0" applyFont="true" applyBorder="true" applyAlignment="true" applyProtection="false">
      <alignment horizontal="left" vertical="bottom" textRotation="0" wrapText="false" indent="2" shrinkToFit="false"/>
      <protection locked="true" hidden="false"/>
    </xf>
    <xf numFmtId="166" fontId="10" fillId="18" borderId="1" xfId="0" applyFont="true" applyBorder="true" applyAlignment="true" applyProtection="false">
      <alignment horizontal="left" vertical="center" textRotation="0" wrapText="false" indent="1" shrinkToFit="false"/>
      <protection locked="true" hidden="false"/>
    </xf>
    <xf numFmtId="165" fontId="10" fillId="10" borderId="1" xfId="0" applyFont="true" applyBorder="true" applyAlignment="true" applyProtection="false">
      <alignment horizontal="right" vertical="bottom" textRotation="0" wrapText="false" indent="0" shrinkToFit="false"/>
      <protection locked="true" hidden="false"/>
    </xf>
    <xf numFmtId="166" fontId="21" fillId="12" borderId="1" xfId="0" applyFont="true" applyBorder="true" applyAlignment="true" applyProtection="false">
      <alignment horizontal="center" vertical="center" textRotation="0" wrapText="false" indent="0" shrinkToFit="false"/>
      <protection locked="true" hidden="false"/>
    </xf>
    <xf numFmtId="165" fontId="23" fillId="15" borderId="1" xfId="0" applyFont="true" applyBorder="true" applyAlignment="true" applyProtection="false">
      <alignment horizontal="right" vertical="bottom" textRotation="0" wrapText="false" indent="0" shrinkToFit="false"/>
      <protection locked="true" hidden="false"/>
    </xf>
    <xf numFmtId="166" fontId="24" fillId="9" borderId="1" xfId="0" applyFont="true" applyBorder="true" applyAlignment="true" applyProtection="false">
      <alignment horizontal="center" vertical="bottom" textRotation="0" wrapText="false" indent="0" shrinkToFit="false"/>
      <protection locked="true" hidden="false"/>
    </xf>
    <xf numFmtId="166" fontId="20" fillId="14" borderId="1" xfId="0" applyFont="true" applyBorder="true" applyAlignment="true" applyProtection="false">
      <alignment horizontal="center" vertical="center" textRotation="0" wrapText="false" indent="0" shrinkToFit="false"/>
      <protection locked="true" hidden="false"/>
    </xf>
    <xf numFmtId="166" fontId="19" fillId="19" borderId="1" xfId="0" applyFont="true" applyBorder="true" applyAlignment="true" applyProtection="false">
      <alignment horizontal="center" vertical="center" textRotation="0" wrapText="false" indent="0" shrinkToFit="false"/>
      <protection locked="true" hidden="false"/>
    </xf>
    <xf numFmtId="165" fontId="25" fillId="15" borderId="1" xfId="0" applyFont="true" applyBorder="true" applyAlignment="true" applyProtection="false">
      <alignment horizontal="right" vertical="bottom" textRotation="0" wrapText="false" indent="0" shrinkToFit="false"/>
      <protection locked="true" hidden="false"/>
    </xf>
    <xf numFmtId="165" fontId="11" fillId="20" borderId="1" xfId="0" applyFont="true" applyBorder="true" applyAlignment="true" applyProtection="false">
      <alignment horizontal="right" vertical="bottom" textRotation="0" wrapText="false" indent="0" shrinkToFit="false"/>
      <protection locked="true" hidden="false"/>
    </xf>
    <xf numFmtId="165" fontId="26" fillId="15" borderId="2" xfId="0" applyFont="true" applyBorder="true" applyAlignment="true" applyProtection="false">
      <alignment horizontal="right" vertical="bottom" textRotation="0" wrapText="false" indent="0" shrinkToFit="false"/>
      <protection locked="true" hidden="false"/>
    </xf>
    <xf numFmtId="165" fontId="6" fillId="20" borderId="2" xfId="0" applyFont="true" applyBorder="true" applyAlignment="true" applyProtection="false">
      <alignment horizontal="right" vertical="bottom" textRotation="0" wrapText="false" indent="0" shrinkToFit="false"/>
      <protection locked="true" hidden="false"/>
    </xf>
    <xf numFmtId="166" fontId="11" fillId="21" borderId="1" xfId="0" applyFont="true" applyBorder="true" applyAlignment="true" applyProtection="false">
      <alignment horizontal="center" vertical="center" textRotation="0" wrapText="false" indent="0" shrinkToFit="false"/>
      <protection locked="true" hidden="false"/>
    </xf>
    <xf numFmtId="166" fontId="27" fillId="21" borderId="1" xfId="0" applyFont="true" applyBorder="true" applyAlignment="true" applyProtection="false">
      <alignment horizontal="center" vertical="center" textRotation="0" wrapText="false" indent="0" shrinkToFit="false"/>
      <protection locked="true" hidden="false"/>
    </xf>
    <xf numFmtId="166" fontId="19" fillId="12" borderId="1" xfId="0" applyFont="true" applyBorder="true" applyAlignment="true" applyProtection="false">
      <alignment horizontal="center" vertical="center" textRotation="0" wrapText="false" indent="0" shrinkToFit="false"/>
      <protection locked="true" hidden="false"/>
    </xf>
    <xf numFmtId="169" fontId="11" fillId="0" borderId="1" xfId="0" applyFont="true" applyBorder="true" applyAlignment="true" applyProtection="false">
      <alignment horizontal="right" vertical="bottom" textRotation="0" wrapText="false" indent="0" shrinkToFit="false"/>
      <protection locked="true" hidden="false"/>
    </xf>
    <xf numFmtId="166" fontId="21" fillId="19" borderId="1" xfId="0" applyFont="true" applyBorder="true" applyAlignment="true" applyProtection="false">
      <alignment horizontal="left" vertical="center" textRotation="0" wrapText="false" indent="1" shrinkToFit="false"/>
      <protection locked="true" hidden="false"/>
    </xf>
    <xf numFmtId="165" fontId="28" fillId="0" borderId="1" xfId="0" applyFont="true" applyBorder="true" applyAlignment="true" applyProtection="false">
      <alignment horizontal="right" vertical="bottom" textRotation="0" wrapText="false" indent="0" shrinkToFit="false"/>
      <protection locked="true" hidden="false"/>
    </xf>
    <xf numFmtId="165" fontId="29" fillId="0" borderId="1" xfId="0" applyFont="true" applyBorder="true" applyAlignment="true" applyProtection="false">
      <alignment horizontal="right" vertical="bottom" textRotation="0" wrapText="false" indent="0" shrinkToFit="false"/>
      <protection locked="true" hidden="false"/>
    </xf>
    <xf numFmtId="166" fontId="6" fillId="18" borderId="1" xfId="0" applyFont="true" applyBorder="true" applyAlignment="true" applyProtection="false">
      <alignment horizontal="center" vertical="bottom" textRotation="0" wrapText="false" indent="0" shrinkToFit="false"/>
      <protection locked="true" hidden="false"/>
    </xf>
    <xf numFmtId="166" fontId="19" fillId="19" borderId="1" xfId="0" applyFont="true" applyBorder="true" applyAlignment="true" applyProtection="false">
      <alignment horizontal="center" vertical="center" textRotation="0" wrapText="true" indent="0" shrinkToFit="false"/>
      <protection locked="true" hidden="false"/>
    </xf>
    <xf numFmtId="166" fontId="16" fillId="0" borderId="1" xfId="0" applyFont="true" applyBorder="true" applyAlignment="true" applyProtection="false">
      <alignment horizontal="center" vertical="center" textRotation="0" wrapText="false" indent="0" shrinkToFit="false"/>
      <protection locked="true" hidden="false"/>
    </xf>
    <xf numFmtId="167" fontId="16" fillId="0" borderId="1" xfId="0" applyFont="true" applyBorder="true" applyAlignment="true" applyProtection="false">
      <alignment horizontal="center" vertical="bottom" textRotation="0" wrapText="false" indent="0" shrinkToFit="false"/>
      <protection locked="true" hidden="false"/>
    </xf>
    <xf numFmtId="166" fontId="16" fillId="0" borderId="1" xfId="0" applyFont="true" applyBorder="true" applyAlignment="true" applyProtection="false">
      <alignment horizontal="left" vertical="top" textRotation="0" wrapText="true" indent="0" shrinkToFit="false"/>
      <protection locked="true" hidden="false"/>
    </xf>
    <xf numFmtId="165" fontId="16" fillId="0" borderId="1" xfId="0" applyFont="true" applyBorder="true" applyAlignment="true" applyProtection="false">
      <alignment horizontal="right" vertical="bottom" textRotation="0" wrapText="false" indent="0" shrinkToFit="false"/>
      <protection locked="true" hidden="false"/>
    </xf>
    <xf numFmtId="165" fontId="16" fillId="18" borderId="1" xfId="0" applyFont="true" applyBorder="true" applyAlignment="true" applyProtection="false">
      <alignment horizontal="right" vertical="bottom" textRotation="0" wrapText="false" indent="0" shrinkToFit="false"/>
      <protection locked="true" hidden="false"/>
    </xf>
    <xf numFmtId="165" fontId="30" fillId="15" borderId="1" xfId="0" applyFont="true" applyBorder="true" applyAlignment="true" applyProtection="false">
      <alignment horizontal="right" vertical="bottom" textRotation="0" wrapText="false" indent="0" shrinkToFit="false"/>
      <protection locked="true" hidden="false"/>
    </xf>
    <xf numFmtId="166" fontId="10" fillId="5" borderId="2" xfId="0" applyFont="true" applyBorder="true" applyAlignment="true" applyProtection="false">
      <alignment horizontal="right" vertical="center" textRotation="0" wrapText="false" indent="0" shrinkToFit="false"/>
      <protection locked="true" hidden="false"/>
    </xf>
    <xf numFmtId="166" fontId="19" fillId="22" borderId="1" xfId="0" applyFont="true" applyBorder="true" applyAlignment="true" applyProtection="false">
      <alignment horizontal="left" vertical="center" textRotation="0" wrapText="false" indent="1" shrinkToFit="false"/>
      <protection locked="true" hidden="false"/>
    </xf>
    <xf numFmtId="166" fontId="7" fillId="0" borderId="0" xfId="0" applyFont="true" applyBorder="false" applyAlignment="true" applyProtection="false">
      <alignment horizontal="left" vertical="center" textRotation="0" wrapText="true" indent="1" shrinkToFit="false"/>
      <protection locked="true" hidden="false"/>
    </xf>
    <xf numFmtId="166" fontId="10" fillId="23" borderId="1" xfId="0" applyFont="true" applyBorder="true" applyAlignment="true" applyProtection="false">
      <alignment horizontal="left" vertical="center" textRotation="0" wrapText="false" indent="1" shrinkToFit="false"/>
      <protection locked="true" hidden="false"/>
    </xf>
    <xf numFmtId="165" fontId="10" fillId="23" borderId="1" xfId="0" applyFont="true" applyBorder="true" applyAlignment="true" applyProtection="false">
      <alignment horizontal="right" vertical="bottom" textRotation="0" wrapText="false" indent="0" shrinkToFit="false"/>
      <protection locked="true" hidden="false"/>
    </xf>
    <xf numFmtId="170" fontId="11" fillId="0" borderId="1" xfId="0" applyFont="true" applyBorder="true" applyAlignment="true" applyProtection="false">
      <alignment horizontal="right" vertical="bottom" textRotation="0" wrapText="false" indent="0" shrinkToFit="false"/>
      <protection locked="true" hidden="false"/>
    </xf>
    <xf numFmtId="166" fontId="6" fillId="5" borderId="2" xfId="0" applyFont="true" applyBorder="true" applyAlignment="true" applyProtection="false">
      <alignment horizontal="left" vertical="center" textRotation="0" wrapText="false" indent="1" shrinkToFit="false"/>
      <protection locked="true" hidden="false"/>
    </xf>
    <xf numFmtId="166" fontId="31" fillId="24" borderId="1" xfId="0" applyFont="true" applyBorder="true" applyAlignment="true" applyProtection="false">
      <alignment horizontal="left" vertical="center" textRotation="0" wrapText="false" indent="1" shrinkToFit="false"/>
      <protection locked="true" hidden="false"/>
    </xf>
    <xf numFmtId="166" fontId="32" fillId="24" borderId="1" xfId="0" applyFont="true" applyBorder="true" applyAlignment="true" applyProtection="false">
      <alignment horizontal="left" vertical="center" textRotation="0" wrapText="true" indent="1" shrinkToFit="false"/>
      <protection locked="true" hidden="false"/>
    </xf>
    <xf numFmtId="166" fontId="33" fillId="24" borderId="1" xfId="0" applyFont="true" applyBorder="true" applyAlignment="true" applyProtection="false">
      <alignment horizontal="left" vertical="center" textRotation="0" wrapText="true" indent="1" shrinkToFit="false"/>
      <protection locked="true" hidden="false"/>
    </xf>
    <xf numFmtId="166" fontId="34" fillId="21" borderId="3" xfId="0" applyFont="true" applyBorder="true" applyAlignment="true" applyProtection="false">
      <alignment horizontal="left" vertical="top" textRotation="0" wrapText="true" indent="1" shrinkToFit="false"/>
      <protection locked="true" hidden="false"/>
    </xf>
    <xf numFmtId="166" fontId="26" fillId="15" borderId="4" xfId="0" applyFont="true" applyBorder="true" applyAlignment="true" applyProtection="false">
      <alignment horizontal="center" vertical="center" textRotation="0" wrapText="false" indent="0" shrinkToFit="false"/>
      <protection locked="true" hidden="false"/>
    </xf>
    <xf numFmtId="166" fontId="11" fillId="25" borderId="5" xfId="0" applyFont="true" applyBorder="true" applyAlignment="true" applyProtection="false">
      <alignment horizontal="left" vertical="top" textRotation="0" wrapText="true" indent="1" shrinkToFit="false"/>
      <protection locked="true" hidden="false"/>
    </xf>
    <xf numFmtId="166" fontId="35" fillId="26" borderId="1" xfId="0" applyFont="true" applyBorder="true" applyAlignment="true" applyProtection="false">
      <alignment horizontal="center" vertical="center" textRotation="0" wrapText="false" indent="0" shrinkToFit="false"/>
      <protection locked="true" hidden="false"/>
    </xf>
    <xf numFmtId="166" fontId="11" fillId="0" borderId="1" xfId="0" applyFont="true" applyBorder="true" applyAlignment="true" applyProtection="false">
      <alignment horizontal="center" vertical="top" textRotation="0" wrapText="false" indent="0" shrinkToFit="false"/>
      <protection locked="true" hidden="false"/>
    </xf>
    <xf numFmtId="166" fontId="36" fillId="0" borderId="1" xfId="0" applyFont="true" applyBorder="true" applyAlignment="true" applyProtection="false">
      <alignment horizontal="left" vertical="top" textRotation="0" wrapText="false" indent="0" shrinkToFit="false"/>
      <protection locked="true" hidden="false"/>
    </xf>
    <xf numFmtId="166" fontId="20" fillId="27" borderId="1" xfId="0" applyFont="true" applyBorder="true" applyAlignment="true" applyProtection="false">
      <alignment horizontal="center" vertical="center" textRotation="0" wrapText="false" indent="0" shrinkToFit="false"/>
      <protection locked="true" hidden="false"/>
    </xf>
    <xf numFmtId="166" fontId="21" fillId="2" borderId="1" xfId="0" applyFont="true" applyBorder="true" applyAlignment="true" applyProtection="false">
      <alignment horizontal="general" vertical="bottom" textRotation="0" wrapText="false" indent="0" shrinkToFit="false"/>
      <protection locked="true" hidden="false"/>
    </xf>
    <xf numFmtId="166" fontId="6" fillId="5" borderId="1" xfId="0" applyFont="true" applyBorder="true" applyAlignment="true" applyProtection="false">
      <alignment horizontal="left" vertical="bottom" textRotation="0" wrapText="false" indent="0" shrinkToFit="false"/>
      <protection locked="true" hidden="false"/>
    </xf>
    <xf numFmtId="166" fontId="6" fillId="5" borderId="1" xfId="0" applyFont="true" applyBorder="true" applyAlignment="true" applyProtection="false">
      <alignment horizontal="center" vertical="bottom" textRotation="0" wrapText="false" indent="0" shrinkToFit="false"/>
      <protection locked="true" hidden="false"/>
    </xf>
    <xf numFmtId="166" fontId="0" fillId="0" borderId="1" xfId="0" applyFont="true" applyBorder="true" applyAlignment="true" applyProtection="false">
      <alignment horizontal="left" vertical="bottom" textRotation="0" wrapText="false" indent="1" shrinkToFit="false"/>
      <protection locked="true" hidden="false"/>
    </xf>
    <xf numFmtId="166" fontId="0" fillId="0" borderId="1" xfId="0" applyFont="fals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8">
    <dxf>
      <fill>
        <patternFill patternType="solid">
          <fgColor rgb="FFFFFFFF"/>
          <bgColor rgb="FF000000"/>
        </patternFill>
      </fill>
    </dxf>
    <dxf>
      <fill>
        <patternFill patternType="solid">
          <fgColor rgb="FF000000"/>
          <bgColor rgb="FF000000"/>
        </patternFill>
      </fill>
    </dxf>
    <dxf>
      <fill>
        <patternFill patternType="solid">
          <fgColor rgb="FFDDEBF7"/>
          <bgColor rgb="FF000000"/>
        </patternFill>
      </fill>
    </dxf>
    <dxf>
      <fill>
        <patternFill patternType="solid">
          <fgColor rgb="FFD9D9D9"/>
          <bgColor rgb="FF000000"/>
        </patternFill>
      </fill>
    </dxf>
    <dxf>
      <fill>
        <patternFill patternType="solid">
          <fgColor rgb="FFEDEDED"/>
          <bgColor rgb="FF000000"/>
        </patternFill>
      </fill>
    </dxf>
    <dxf>
      <fill>
        <patternFill patternType="solid">
          <fgColor rgb="FFFCE4D6"/>
          <bgColor rgb="FF000000"/>
        </patternFill>
      </fill>
    </dxf>
    <dxf>
      <fill>
        <patternFill patternType="solid">
          <fgColor rgb="FFE2EFDA"/>
          <bgColor rgb="FF000000"/>
        </patternFill>
      </fill>
    </dxf>
    <dxf>
      <font>
        <color rgb="FF9C0006"/>
      </font>
      <numFmt numFmtId="164" formatCode="#,##0.00"/>
      <fill>
        <patternFill>
          <bgColor rgb="FFFFC7CE"/>
        </patternFill>
      </fill>
    </dxf>
    <dxf>
      <fill>
        <patternFill patternType="solid">
          <fgColor rgb="FF4472C4"/>
          <bgColor rgb="FF000000"/>
        </patternFill>
      </fill>
    </dxf>
    <dxf>
      <fill>
        <patternFill patternType="solid">
          <bgColor rgb="FF000000"/>
        </patternFill>
      </fill>
    </dxf>
    <dxf>
      <fill>
        <patternFill patternType="solid">
          <fgColor rgb="FFFFD966"/>
          <bgColor rgb="FF000000"/>
        </patternFill>
      </fill>
    </dxf>
    <dxf>
      <fill>
        <patternFill patternType="solid">
          <fgColor rgb="FFFFF2CC"/>
          <bgColor rgb="FF000000"/>
        </patternFill>
      </fill>
    </dxf>
    <dxf>
      <fill>
        <patternFill patternType="solid">
          <fgColor rgb="FF7030A0"/>
          <bgColor rgb="FF000000"/>
        </patternFill>
      </fill>
    </dxf>
    <dxf>
      <fill>
        <patternFill patternType="solid">
          <fgColor rgb="FFE7E6E6"/>
          <bgColor rgb="FF000000"/>
        </patternFill>
      </fill>
    </dxf>
    <dxf>
      <fill>
        <patternFill patternType="solid">
          <fgColor rgb="FF9C5700"/>
          <bgColor rgb="FF000000"/>
        </patternFill>
      </fill>
    </dxf>
    <dxf>
      <font>
        <b val="1"/>
        <color rgb="FF9C0006"/>
      </font>
      <numFmt numFmtId="165" formatCode="&quot;$ &quot;#,##0.00"/>
      <fill>
        <patternFill>
          <bgColor rgb="FFFFC7CE"/>
        </patternFill>
      </fill>
    </dxf>
    <dxf>
      <fill>
        <patternFill patternType="solid">
          <fgColor rgb="FFA9D08E"/>
          <bgColor rgb="FF000000"/>
        </patternFill>
      </fill>
    </dxf>
    <dxf>
      <fill>
        <patternFill patternType="solid">
          <fgColor rgb="FF7F7F7F"/>
          <bgColor rgb="FF000000"/>
        </patternFill>
      </fill>
    </dxf>
  </dxfs>
  <colors>
    <indexedColors>
      <rgbColor rgb="FF000000"/>
      <rgbColor rgb="FFFFFFFF"/>
      <rgbColor rgb="FFC00000"/>
      <rgbColor rgb="FF00FF00"/>
      <rgbColor rgb="FF0000FF"/>
      <rgbColor rgb="FFFFE699"/>
      <rgbColor rgb="FFFF00FF"/>
      <rgbColor rgb="FFF4F0FA"/>
      <rgbColor rgb="FF9C0006"/>
      <rgbColor rgb="FF008000"/>
      <rgbColor rgb="FF000080"/>
      <rgbColor rgb="FF548235"/>
      <rgbColor rgb="FF800080"/>
      <rgbColor rgb="FF008080"/>
      <rgbColor rgb="FFCCCCCC"/>
      <rgbColor rgb="FF7F7F7F"/>
      <rgbColor rgb="FF8EA9DB"/>
      <rgbColor rgb="FF7030A0"/>
      <rgbColor rgb="FFFFF8E1"/>
      <rgbColor rgb="FFDDEBF7"/>
      <rgbColor rgb="FF660066"/>
      <rgbColor rgb="FFE7E6E6"/>
      <rgbColor rgb="FF0066CC"/>
      <rgbColor rgb="FFD9D9D9"/>
      <rgbColor rgb="FF000080"/>
      <rgbColor rgb="FFFF00FF"/>
      <rgbColor rgb="FFFFF2CC"/>
      <rgbColor rgb="FFF5F5F5"/>
      <rgbColor rgb="FF800080"/>
      <rgbColor rgb="FF800000"/>
      <rgbColor rgb="FF008080"/>
      <rgbColor rgb="FF0000FF"/>
      <rgbColor rgb="FF00CCFF"/>
      <rgbColor rgb="FFEAF1FB"/>
      <rgbColor rgb="FFE2EFDA"/>
      <rgbColor rgb="FFFFEB9C"/>
      <rgbColor rgb="FFA9D08E"/>
      <rgbColor rgb="FFFCE4D6"/>
      <rgbColor rgb="FFD9E1F2"/>
      <rgbColor rgb="FFFFC7CE"/>
      <rgbColor rgb="FF4472C4"/>
      <rgbColor rgb="FFF2F2F2"/>
      <rgbColor rgb="FFEDEDED"/>
      <rgbColor rgb="FFFFD966"/>
      <rgbColor rgb="FFBF8F00"/>
      <rgbColor rgb="FFFAFAFA"/>
      <rgbColor rgb="FF595959"/>
      <rgbColor rgb="FF5B9BD5"/>
      <rgbColor rgb="FF1F3864"/>
      <rgbColor rgb="FF2E7D32"/>
      <rgbColor rgb="FF003300"/>
      <rgbColor rgb="FF333300"/>
      <rgbColor rgb="FF9C5700"/>
      <rgbColor rgb="FFC62828"/>
      <rgbColor rgb="FF2F5496"/>
      <rgbColor rgb="FF38572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1.xml.rels><?xml version="1.0" encoding="UTF-8"?>
<Relationships xmlns="http://schemas.openxmlformats.org/package/2006/relationships"><Relationship Id="rId1" Type="http://schemas.openxmlformats.org/officeDocument/2006/relationships/drawing" Target="../drawings/drawing3.xml"/>
</Relationships>
</file>

<file path=xl/worksheets/_rels/sheet12.xml.rels><?xml version="1.0" encoding="UTF-8"?>
<Relationships xmlns="http://schemas.openxmlformats.org/package/2006/relationships"><Relationship Id="rId1" Type="http://schemas.openxmlformats.org/officeDocument/2006/relationships/drawing" Target="../drawings/drawing4.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7.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E4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2" min="2" style="1" width="28.57"/>
    <col collapsed="false" customWidth="true" hidden="false" outlineLevel="0" max="5" min="3" style="1" width="14.29"/>
  </cols>
  <sheetData>
    <row r="2" customFormat="false" ht="39.75" hidden="false" customHeight="true" outlineLevel="0" collapsed="false">
      <c r="B2" s="2" t="s">
        <v>0</v>
      </c>
      <c r="C2" s="2"/>
      <c r="D2" s="2"/>
      <c r="E2" s="2"/>
    </row>
    <row r="4" customFormat="false" ht="15" hidden="false" customHeight="true" outlineLevel="0" collapsed="false">
      <c r="B4" s="3" t="s">
        <v>1</v>
      </c>
      <c r="C4" s="3"/>
      <c r="D4" s="3"/>
      <c r="E4" s="3"/>
    </row>
    <row r="5" customFormat="false" ht="15" hidden="false" customHeight="true" outlineLevel="0" collapsed="false">
      <c r="B5" s="4" t="s">
        <v>2</v>
      </c>
      <c r="C5" s="5" t="s">
        <v>3</v>
      </c>
      <c r="D5" s="5"/>
      <c r="E5" s="5"/>
    </row>
    <row r="6" customFormat="false" ht="15" hidden="false" customHeight="true" outlineLevel="0" collapsed="false">
      <c r="B6" s="4" t="s">
        <v>4</v>
      </c>
      <c r="C6" s="5" t="s">
        <v>5</v>
      </c>
      <c r="D6" s="5"/>
      <c r="E6" s="5"/>
    </row>
    <row r="7" customFormat="false" ht="15" hidden="false" customHeight="true" outlineLevel="0" collapsed="false">
      <c r="B7" s="4" t="s">
        <v>6</v>
      </c>
      <c r="C7" s="5" t="s">
        <v>7</v>
      </c>
      <c r="D7" s="5"/>
      <c r="E7" s="5"/>
    </row>
    <row r="9" customFormat="false" ht="15" hidden="false" customHeight="true" outlineLevel="0" collapsed="false">
      <c r="B9" s="3" t="s">
        <v>8</v>
      </c>
      <c r="C9" s="3"/>
      <c r="D9" s="3"/>
      <c r="E9" s="3"/>
    </row>
    <row r="10" customFormat="false" ht="15" hidden="false" customHeight="true" outlineLevel="0" collapsed="false">
      <c r="B10" s="4" t="s">
        <v>9</v>
      </c>
      <c r="C10" s="6" t="n">
        <v>577428.15</v>
      </c>
      <c r="D10" s="6"/>
      <c r="E10" s="6"/>
    </row>
    <row r="11" customFormat="false" ht="15" hidden="false" customHeight="true" outlineLevel="0" collapsed="false">
      <c r="B11" s="4" t="s">
        <v>10</v>
      </c>
      <c r="C11" s="6" t="n">
        <v>376689.15</v>
      </c>
      <c r="D11" s="6"/>
      <c r="E11" s="6"/>
    </row>
    <row r="12" customFormat="false" ht="15" hidden="false" customHeight="true" outlineLevel="0" collapsed="false">
      <c r="B12" s="4" t="s">
        <v>11</v>
      </c>
      <c r="C12" s="6" t="n">
        <v>200739</v>
      </c>
      <c r="D12" s="6"/>
      <c r="E12" s="6"/>
    </row>
    <row r="13" customFormat="false" ht="15" hidden="false" customHeight="true" outlineLevel="0" collapsed="false">
      <c r="B13" s="4" t="s">
        <v>12</v>
      </c>
      <c r="C13" s="6" t="n">
        <v>59948.37</v>
      </c>
      <c r="D13" s="6"/>
      <c r="E13" s="6"/>
    </row>
    <row r="15" customFormat="false" ht="15" hidden="false" customHeight="true" outlineLevel="0" collapsed="false">
      <c r="B15" s="3" t="s">
        <v>13</v>
      </c>
      <c r="C15" s="3"/>
      <c r="D15" s="3"/>
      <c r="E15" s="3"/>
    </row>
    <row r="16" customFormat="false" ht="15" hidden="false" customHeight="true" outlineLevel="0" collapsed="false">
      <c r="B16" s="4" t="s">
        <v>14</v>
      </c>
      <c r="C16" s="6" t="n">
        <v>18000</v>
      </c>
      <c r="D16" s="6"/>
      <c r="E16" s="6"/>
    </row>
    <row r="18" customFormat="false" ht="15" hidden="false" customHeight="true" outlineLevel="0" collapsed="false">
      <c r="B18" s="3" t="s">
        <v>15</v>
      </c>
      <c r="C18" s="3"/>
      <c r="D18" s="3"/>
      <c r="E18" s="3"/>
    </row>
    <row r="20" customFormat="false" ht="15" hidden="false" customHeight="true" outlineLevel="0" collapsed="false">
      <c r="B20" s="5" t="s">
        <v>16</v>
      </c>
      <c r="C20" s="5"/>
      <c r="D20" s="5"/>
      <c r="E20" s="5"/>
    </row>
    <row r="21" customFormat="false" ht="15" hidden="false" customHeight="true" outlineLevel="0" collapsed="false">
      <c r="B21" s="5" t="s">
        <v>17</v>
      </c>
      <c r="C21" s="5"/>
      <c r="D21" s="5"/>
      <c r="E21" s="5"/>
    </row>
    <row r="24" customFormat="false" ht="15" hidden="false" customHeight="true" outlineLevel="0" collapsed="false">
      <c r="B24" s="3" t="s">
        <v>18</v>
      </c>
      <c r="C24" s="3"/>
      <c r="D24" s="3"/>
      <c r="E24" s="3"/>
    </row>
    <row r="25" customFormat="false" ht="27.75" hidden="false" customHeight="true" outlineLevel="0" collapsed="false">
      <c r="B25" s="7" t="s">
        <v>19</v>
      </c>
      <c r="C25" s="7"/>
      <c r="D25" s="7"/>
      <c r="E25" s="7"/>
    </row>
    <row r="27" customFormat="false" ht="15" hidden="false" customHeight="true" outlineLevel="0" collapsed="false">
      <c r="B27" s="8" t="s">
        <v>20</v>
      </c>
      <c r="C27" s="8"/>
      <c r="D27" s="8"/>
      <c r="E27" s="8"/>
    </row>
    <row r="28" customFormat="false" ht="15" hidden="false" customHeight="true" outlineLevel="0" collapsed="false">
      <c r="B28" s="9" t="s">
        <v>21</v>
      </c>
      <c r="C28" s="10" t="n">
        <v>28287.41</v>
      </c>
      <c r="D28" s="10"/>
      <c r="E28" s="10"/>
    </row>
    <row r="29" customFormat="false" ht="15" hidden="false" customHeight="true" outlineLevel="0" collapsed="false">
      <c r="B29" s="11" t="s">
        <v>22</v>
      </c>
      <c r="C29" s="12" t="s">
        <v>23</v>
      </c>
      <c r="D29" s="12"/>
      <c r="E29" s="12"/>
    </row>
    <row r="30" customFormat="false" ht="21.75" hidden="false" customHeight="true" outlineLevel="0" collapsed="false">
      <c r="B30" s="11" t="s">
        <v>24</v>
      </c>
      <c r="C30" s="13" t="s">
        <v>25</v>
      </c>
      <c r="D30" s="13"/>
      <c r="E30" s="13"/>
    </row>
    <row r="31" customFormat="false" ht="15" hidden="false" customHeight="true" outlineLevel="0" collapsed="false">
      <c r="B31" s="11" t="s">
        <v>26</v>
      </c>
      <c r="C31" s="13" t="s">
        <v>27</v>
      </c>
      <c r="D31" s="13"/>
      <c r="E31" s="13"/>
    </row>
    <row r="33" customFormat="false" ht="15" hidden="false" customHeight="true" outlineLevel="0" collapsed="false">
      <c r="B33" s="8" t="s">
        <v>28</v>
      </c>
      <c r="C33" s="8"/>
      <c r="D33" s="8"/>
      <c r="E33" s="8"/>
    </row>
    <row r="34" customFormat="false" ht="15" hidden="false" customHeight="true" outlineLevel="0" collapsed="false">
      <c r="B34" s="9" t="s">
        <v>21</v>
      </c>
      <c r="C34" s="10" t="n">
        <v>7836</v>
      </c>
      <c r="D34" s="10"/>
      <c r="E34" s="10"/>
    </row>
    <row r="35" customFormat="false" ht="15" hidden="false" customHeight="true" outlineLevel="0" collapsed="false">
      <c r="B35" s="11" t="s">
        <v>22</v>
      </c>
      <c r="C35" s="12" t="s">
        <v>29</v>
      </c>
      <c r="D35" s="12"/>
      <c r="E35" s="12"/>
    </row>
    <row r="36" customFormat="false" ht="15" hidden="false" customHeight="true" outlineLevel="0" collapsed="false">
      <c r="B36" s="11" t="s">
        <v>24</v>
      </c>
      <c r="C36" s="13" t="s">
        <v>30</v>
      </c>
      <c r="D36" s="13"/>
      <c r="E36" s="13"/>
    </row>
    <row r="37" customFormat="false" ht="15" hidden="false" customHeight="true" outlineLevel="0" collapsed="false">
      <c r="B37" s="11" t="s">
        <v>26</v>
      </c>
      <c r="C37" s="13" t="s">
        <v>31</v>
      </c>
      <c r="D37" s="13"/>
      <c r="E37" s="13"/>
    </row>
    <row r="40" customFormat="false" ht="15" hidden="false" customHeight="true" outlineLevel="0" collapsed="false">
      <c r="B40" s="3" t="s">
        <v>32</v>
      </c>
      <c r="C40" s="3"/>
      <c r="D40" s="3"/>
      <c r="E40" s="3"/>
    </row>
    <row r="41" customFormat="false" ht="30" hidden="false" customHeight="true" outlineLevel="0" collapsed="false">
      <c r="B41" s="14" t="s">
        <v>21</v>
      </c>
      <c r="C41" s="12" t="s">
        <v>33</v>
      </c>
      <c r="D41" s="12"/>
      <c r="E41" s="12"/>
    </row>
    <row r="42" customFormat="false" ht="30" hidden="false" customHeight="true" outlineLevel="0" collapsed="false">
      <c r="B42" s="14" t="s">
        <v>34</v>
      </c>
      <c r="C42" s="12" t="s">
        <v>35</v>
      </c>
      <c r="D42" s="12"/>
      <c r="E42" s="12"/>
    </row>
    <row r="43" customFormat="false" ht="30" hidden="false" customHeight="true" outlineLevel="0" collapsed="false">
      <c r="B43" s="14" t="s">
        <v>36</v>
      </c>
      <c r="C43" s="12" t="s">
        <v>37</v>
      </c>
      <c r="D43" s="12"/>
      <c r="E43" s="12"/>
    </row>
    <row r="44" customFormat="false" ht="30" hidden="false" customHeight="true" outlineLevel="0" collapsed="false">
      <c r="B44" s="14" t="s">
        <v>38</v>
      </c>
      <c r="C44" s="12" t="s">
        <v>39</v>
      </c>
      <c r="D44" s="12"/>
      <c r="E44" s="12"/>
    </row>
    <row r="45" customFormat="false" ht="30" hidden="false" customHeight="true" outlineLevel="0" collapsed="false">
      <c r="B45" s="14" t="s">
        <v>40</v>
      </c>
      <c r="C45" s="12" t="s">
        <v>41</v>
      </c>
      <c r="D45" s="12"/>
      <c r="E45" s="12"/>
    </row>
    <row r="46" customFormat="false" ht="30" hidden="false" customHeight="true" outlineLevel="0" collapsed="false">
      <c r="B46" s="14" t="s">
        <v>42</v>
      </c>
      <c r="C46" s="12" t="s">
        <v>43</v>
      </c>
      <c r="D46" s="12"/>
      <c r="E46" s="12"/>
    </row>
    <row r="47" customFormat="false" ht="30" hidden="false" customHeight="true" outlineLevel="0" collapsed="false">
      <c r="B47" s="14" t="s">
        <v>44</v>
      </c>
      <c r="C47" s="12" t="s">
        <v>45</v>
      </c>
      <c r="D47" s="12"/>
      <c r="E47" s="12"/>
    </row>
    <row r="48" customFormat="false" ht="30" hidden="false" customHeight="true" outlineLevel="0" collapsed="false">
      <c r="B48" s="14" t="s">
        <v>46</v>
      </c>
      <c r="C48" s="12" t="s">
        <v>47</v>
      </c>
      <c r="D48" s="12"/>
      <c r="E48" s="12"/>
    </row>
    <row r="49" customFormat="false" ht="30" hidden="false" customHeight="true" outlineLevel="0" collapsed="false">
      <c r="B49" s="14" t="s">
        <v>48</v>
      </c>
      <c r="C49" s="12" t="s">
        <v>49</v>
      </c>
      <c r="D49" s="12"/>
      <c r="E49" s="12"/>
    </row>
  </sheetData>
  <mergeCells count="37">
    <mergeCell ref="B2:E2"/>
    <mergeCell ref="B4:E4"/>
    <mergeCell ref="C5:E5"/>
    <mergeCell ref="C6:E6"/>
    <mergeCell ref="C7:E7"/>
    <mergeCell ref="B9:E9"/>
    <mergeCell ref="C10:E10"/>
    <mergeCell ref="C11:E11"/>
    <mergeCell ref="C12:E12"/>
    <mergeCell ref="C13:E13"/>
    <mergeCell ref="B15:E15"/>
    <mergeCell ref="C16:E16"/>
    <mergeCell ref="B18:E18"/>
    <mergeCell ref="B20:E20"/>
    <mergeCell ref="B21:E21"/>
    <mergeCell ref="B24:E24"/>
    <mergeCell ref="B25:E25"/>
    <mergeCell ref="B27:E27"/>
    <mergeCell ref="C28:E28"/>
    <mergeCell ref="C29:E29"/>
    <mergeCell ref="C30:E30"/>
    <mergeCell ref="C31:E31"/>
    <mergeCell ref="B33:E33"/>
    <mergeCell ref="C34:E34"/>
    <mergeCell ref="C35:E35"/>
    <mergeCell ref="C36:E36"/>
    <mergeCell ref="C37:E37"/>
    <mergeCell ref="B40:E40"/>
    <mergeCell ref="C41:E41"/>
    <mergeCell ref="C42:E42"/>
    <mergeCell ref="C43:E43"/>
    <mergeCell ref="C44:E44"/>
    <mergeCell ref="C45:E45"/>
    <mergeCell ref="C46:E46"/>
    <mergeCell ref="C47:E47"/>
    <mergeCell ref="C48:E48"/>
    <mergeCell ref="C49:E49"/>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5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8.6796875" defaultRowHeight="15" zeroHeight="false" outlineLevelRow="0" outlineLevelCol="0"/>
  <cols>
    <col collapsed="false" customWidth="true" hidden="false" outlineLevel="0" max="1" min="1" style="1" width="6.71"/>
    <col collapsed="false" customWidth="true" hidden="false" outlineLevel="0" max="2" min="2" style="1" width="50.71"/>
    <col collapsed="false" customWidth="true" hidden="false" outlineLevel="0" max="5" min="3" style="1" width="17.71"/>
  </cols>
  <sheetData>
    <row r="1" customFormat="false" ht="30" hidden="false" customHeight="true" outlineLevel="0" collapsed="false">
      <c r="A1" s="50" t="s">
        <v>400</v>
      </c>
      <c r="B1" s="50"/>
      <c r="C1" s="50"/>
      <c r="D1" s="50"/>
      <c r="E1" s="50"/>
    </row>
    <row r="3" customFormat="false" ht="15" hidden="false" customHeight="true" outlineLevel="0" collapsed="false">
      <c r="A3" s="65" t="s">
        <v>401</v>
      </c>
      <c r="B3" s="65"/>
      <c r="C3" s="65"/>
      <c r="D3" s="65"/>
      <c r="E3" s="65"/>
    </row>
    <row r="4" customFormat="false" ht="15" hidden="false" customHeight="true" outlineLevel="0" collapsed="false">
      <c r="A4" s="51"/>
      <c r="B4" s="51" t="s">
        <v>402</v>
      </c>
      <c r="C4" s="51" t="s">
        <v>403</v>
      </c>
      <c r="D4" s="79" t="s">
        <v>404</v>
      </c>
      <c r="E4" s="80" t="s">
        <v>405</v>
      </c>
    </row>
    <row r="5" customFormat="false" ht="15" hidden="false" customHeight="true" outlineLevel="0" collapsed="false">
      <c r="A5" s="71" t="s">
        <v>137</v>
      </c>
      <c r="B5" s="42" t="s">
        <v>138</v>
      </c>
      <c r="C5" s="55" t="n">
        <f aca="false">SUMIFS(CONCENTRADO!AI7:AI60,CONCENTRADO!E7:E60,"EPU010101AA2")</f>
        <v>416899.96</v>
      </c>
      <c r="D5" s="81"/>
      <c r="E5" s="82" t="str">
        <f aca="false">IF(D5="","",C5-D5)</f>
        <v/>
      </c>
    </row>
    <row r="6" customFormat="false" ht="15" hidden="false" customHeight="true" outlineLevel="0" collapsed="false">
      <c r="A6" s="71" t="s">
        <v>171</v>
      </c>
      <c r="B6" s="42" t="s">
        <v>172</v>
      </c>
      <c r="C6" s="55" t="n">
        <f aca="false">SUMIFS(CONCENTRADO!AI7:AI60,CONCENTRADO!E7:E60,"EPD010101AA3")</f>
        <v>160528.19</v>
      </c>
      <c r="D6" s="81"/>
      <c r="E6" s="82" t="str">
        <f aca="false">IF(D6="","",C6-D6)</f>
        <v/>
      </c>
    </row>
    <row r="7" customFormat="false" ht="15" hidden="false" customHeight="true" outlineLevel="0" collapsed="false">
      <c r="A7" s="44" t="s">
        <v>265</v>
      </c>
      <c r="B7" s="44"/>
      <c r="C7" s="64" t="n">
        <f aca="false">SUM(C5:C6)</f>
        <v>577428.15</v>
      </c>
      <c r="D7" s="83" t="str">
        <f aca="false">IF(SUM(D5:D6)=0,"",SUM(D5:D6))</f>
        <v/>
      </c>
      <c r="E7" s="84" t="str">
        <f aca="false">IF(D7="","",C7-D7)</f>
        <v/>
      </c>
    </row>
    <row r="9" customFormat="false" ht="15" hidden="false" customHeight="true" outlineLevel="0" collapsed="false">
      <c r="A9" s="65" t="s">
        <v>406</v>
      </c>
      <c r="B9" s="65"/>
      <c r="C9" s="65"/>
      <c r="D9" s="65"/>
      <c r="E9" s="65"/>
    </row>
    <row r="10" customFormat="false" ht="15" hidden="false" customHeight="true" outlineLevel="0" collapsed="false">
      <c r="A10" s="51"/>
      <c r="B10" s="51" t="s">
        <v>407</v>
      </c>
      <c r="C10" s="51" t="s">
        <v>403</v>
      </c>
      <c r="D10" s="79" t="s">
        <v>404</v>
      </c>
      <c r="E10" s="80" t="s">
        <v>405</v>
      </c>
    </row>
    <row r="11" customFormat="false" ht="15" hidden="false" customHeight="true" outlineLevel="0" collapsed="false">
      <c r="A11" s="85"/>
      <c r="B11" s="42" t="s">
        <v>408</v>
      </c>
      <c r="C11" s="55" t="n">
        <f aca="false">SUMIF(CONCENTRADO!AA3:AG3,"002",CONCENTRADO!AA61:AG61)</f>
        <v>3394.2</v>
      </c>
      <c r="D11" s="81"/>
      <c r="E11" s="82" t="str">
        <f aca="false">IF(D11="","",C11-D11)</f>
        <v/>
      </c>
    </row>
    <row r="12" customFormat="false" ht="15" hidden="false" customHeight="true" outlineLevel="0" collapsed="false">
      <c r="A12" s="85"/>
      <c r="B12" s="42" t="s">
        <v>409</v>
      </c>
      <c r="C12" s="55" t="n">
        <f aca="false">SUMIF(CONCENTRADO!AA3:AG3,"021",CONCENTRADO!AA61:AG61)</f>
        <v>1628.55</v>
      </c>
      <c r="D12" s="81"/>
      <c r="E12" s="82" t="str">
        <f aca="false">IF(D12="","",C12-D12)</f>
        <v/>
      </c>
    </row>
    <row r="13" customFormat="false" ht="15" hidden="false" customHeight="true" outlineLevel="0" collapsed="false">
      <c r="A13" s="85"/>
      <c r="B13" s="42" t="s">
        <v>410</v>
      </c>
      <c r="C13" s="55" t="n">
        <f aca="false">SUMIF(CONCENTRADO!AA3:AG3,"020",CONCENTRADO!AA61:AG61)</f>
        <v>2149.66</v>
      </c>
      <c r="D13" s="81"/>
      <c r="E13" s="82" t="str">
        <f aca="false">IF(D13="","",C13-D13)</f>
        <v/>
      </c>
    </row>
    <row r="14" customFormat="false" ht="15" hidden="false" customHeight="true" outlineLevel="0" collapsed="false">
      <c r="A14" s="85"/>
      <c r="B14" s="42" t="s">
        <v>411</v>
      </c>
      <c r="C14" s="55" t="n">
        <f aca="false">SUMIF(CONCENTRADO!AA3:AG3,"039",CONCENTRADO!AA61:AG61)+SUMIF(CONCENTRADO!AA3:AG3,"053",CONCENTRADO!AA61:AG61)</f>
        <v>160528.19</v>
      </c>
      <c r="D14" s="81"/>
      <c r="E14" s="82" t="str">
        <f aca="false">IF(D14="","",C14-D14)</f>
        <v/>
      </c>
    </row>
    <row r="15" customFormat="false" ht="15" hidden="false" customHeight="true" outlineLevel="0" collapsed="false">
      <c r="A15" s="85"/>
      <c r="B15" s="42" t="s">
        <v>412</v>
      </c>
      <c r="C15" s="55" t="n">
        <f aca="false">CONCENTRADO!AH61-SUM(C11:C14)</f>
        <v>33038.4</v>
      </c>
      <c r="D15" s="81"/>
      <c r="E15" s="82" t="str">
        <f aca="false">IF(D15="","",C15-D15)</f>
        <v/>
      </c>
    </row>
    <row r="16" customFormat="false" ht="15" hidden="false" customHeight="true" outlineLevel="0" collapsed="false">
      <c r="A16" s="44" t="s">
        <v>413</v>
      </c>
      <c r="B16" s="44"/>
      <c r="C16" s="64" t="n">
        <f aca="false">SUM(C11:C15)</f>
        <v>200739</v>
      </c>
      <c r="D16" s="83" t="str">
        <f aca="false">IF(SUM(D11:D15)=0,"",SUM(D11:D15))</f>
        <v/>
      </c>
      <c r="E16" s="84" t="str">
        <f aca="false">IF(D16="","",C16-D16)</f>
        <v/>
      </c>
    </row>
    <row r="18" customFormat="false" ht="15" hidden="false" customHeight="true" outlineLevel="0" collapsed="false">
      <c r="A18" s="65" t="s">
        <v>414</v>
      </c>
      <c r="B18" s="65"/>
      <c r="C18" s="65"/>
      <c r="D18" s="65"/>
      <c r="E18" s="65"/>
    </row>
    <row r="19" customFormat="false" ht="15" hidden="false" customHeight="true" outlineLevel="0" collapsed="false">
      <c r="A19" s="51"/>
      <c r="B19" s="51" t="s">
        <v>407</v>
      </c>
      <c r="C19" s="51" t="s">
        <v>403</v>
      </c>
      <c r="D19" s="79" t="s">
        <v>415</v>
      </c>
      <c r="E19" s="80" t="s">
        <v>405</v>
      </c>
    </row>
    <row r="20" customFormat="false" ht="15" hidden="false" customHeight="true" outlineLevel="0" collapsed="false">
      <c r="A20" s="66" t="s">
        <v>416</v>
      </c>
      <c r="B20" s="66"/>
      <c r="C20" s="66"/>
      <c r="D20" s="66"/>
      <c r="E20" s="66"/>
    </row>
    <row r="21" customFormat="false" ht="15" hidden="false" customHeight="true" outlineLevel="0" collapsed="false">
      <c r="A21" s="85"/>
      <c r="B21" s="42" t="s">
        <v>417</v>
      </c>
      <c r="C21" s="55" t="n">
        <f aca="false">CONCENTRADO!AI61</f>
        <v>577428.15</v>
      </c>
      <c r="D21" s="81"/>
      <c r="E21" s="82" t="str">
        <f aca="false">IF(D21="","",C21-D21)</f>
        <v/>
      </c>
    </row>
    <row r="22" customFormat="false" ht="15" hidden="false" customHeight="true" outlineLevel="0" collapsed="false">
      <c r="A22" s="86" t="s">
        <v>418</v>
      </c>
      <c r="B22" s="42" t="s">
        <v>419</v>
      </c>
      <c r="C22" s="55" t="n">
        <f aca="false">CONCENTRADO!AH61</f>
        <v>200739</v>
      </c>
      <c r="D22" s="81"/>
      <c r="E22" s="82" t="str">
        <f aca="false">IF(D22="","",C22-D22)</f>
        <v/>
      </c>
    </row>
    <row r="23" customFormat="false" ht="15" hidden="false" customHeight="true" outlineLevel="0" collapsed="false">
      <c r="A23" s="86" t="s">
        <v>420</v>
      </c>
      <c r="B23" s="42" t="s">
        <v>421</v>
      </c>
      <c r="C23" s="55" t="n">
        <f aca="false">INTERESES!B18</f>
        <v>3798.62</v>
      </c>
      <c r="D23" s="81"/>
      <c r="E23" s="82" t="str">
        <f aca="false">IF(D23="","",C23-D23)</f>
        <v/>
      </c>
    </row>
    <row r="24" customFormat="false" ht="15" hidden="false" customHeight="true" outlineLevel="0" collapsed="false">
      <c r="A24" s="87" t="s">
        <v>422</v>
      </c>
      <c r="B24" s="44" t="s">
        <v>423</v>
      </c>
      <c r="C24" s="64" t="n">
        <f aca="false">C21-C22+C23</f>
        <v>380487.77</v>
      </c>
      <c r="D24" s="83" t="str">
        <f aca="false">IF(OR(D21="",D22=""),"",D21-D22+D23)</f>
        <v/>
      </c>
      <c r="E24" s="84" t="str">
        <f aca="false">IF(D24="","",C24-D24)</f>
        <v/>
      </c>
    </row>
    <row r="25" customFormat="false" ht="15" hidden="false" customHeight="true" outlineLevel="0" collapsed="false">
      <c r="A25" s="66" t="s">
        <v>424</v>
      </c>
      <c r="B25" s="66"/>
      <c r="C25" s="66"/>
      <c r="D25" s="66"/>
      <c r="E25" s="66"/>
    </row>
    <row r="26" customFormat="false" ht="15" hidden="false" customHeight="true" outlineLevel="0" collapsed="false">
      <c r="A26" s="86" t="s">
        <v>418</v>
      </c>
      <c r="B26" s="42" t="s">
        <v>425</v>
      </c>
      <c r="C26" s="55" t="n">
        <v>18000</v>
      </c>
      <c r="D26" s="81"/>
      <c r="E26" s="82" t="str">
        <f aca="false">IF(D26="","",C26-D26)</f>
        <v/>
      </c>
    </row>
    <row r="27" customFormat="false" ht="15" hidden="false" customHeight="true" outlineLevel="0" collapsed="false">
      <c r="A27" s="87" t="s">
        <v>422</v>
      </c>
      <c r="B27" s="44" t="s">
        <v>426</v>
      </c>
      <c r="C27" s="64" t="n">
        <f aca="false">MAX(C24-C26,0)</f>
        <v>362487.77</v>
      </c>
      <c r="D27" s="83" t="str">
        <f aca="false">IF(OR(D24="",D26=""),"",MAX(D24-D26,0))</f>
        <v/>
      </c>
      <c r="E27" s="84" t="str">
        <f aca="false">IF(D27="","",C27-D27)</f>
        <v/>
      </c>
    </row>
    <row r="28" customFormat="false" ht="15" hidden="false" customHeight="true" outlineLevel="0" collapsed="false">
      <c r="A28" s="66" t="s">
        <v>427</v>
      </c>
      <c r="B28" s="66"/>
      <c r="C28" s="66"/>
      <c r="D28" s="66"/>
      <c r="E28" s="66"/>
    </row>
    <row r="29" customFormat="false" ht="15" hidden="false" customHeight="true" outlineLevel="0" collapsed="false">
      <c r="A29" s="86" t="s">
        <v>418</v>
      </c>
      <c r="B29" s="42" t="s">
        <v>428</v>
      </c>
      <c r="C29" s="55" t="n">
        <v>185852.58</v>
      </c>
      <c r="D29" s="55" t="n">
        <v>185852.58</v>
      </c>
      <c r="E29" s="82" t="n">
        <f aca="false">IF(D29="","",C29-D29)</f>
        <v>0</v>
      </c>
    </row>
    <row r="30" customFormat="false" ht="15" hidden="false" customHeight="true" outlineLevel="0" collapsed="false">
      <c r="A30" s="87" t="s">
        <v>422</v>
      </c>
      <c r="B30" s="44" t="s">
        <v>429</v>
      </c>
      <c r="C30" s="64" t="n">
        <f aca="false">MAX(C27-C29,0)</f>
        <v>176635.19</v>
      </c>
      <c r="D30" s="83" t="str">
        <f aca="false">IF(D27="","",MAX(D27-D29,0))</f>
        <v/>
      </c>
      <c r="E30" s="84" t="str">
        <f aca="false">IF(D30="","",C30-D30)</f>
        <v/>
      </c>
    </row>
    <row r="31" customFormat="false" ht="15" hidden="false" customHeight="true" outlineLevel="0" collapsed="false">
      <c r="A31" s="86" t="s">
        <v>430</v>
      </c>
      <c r="B31" s="42" t="s">
        <v>431</v>
      </c>
      <c r="C31" s="88" t="n">
        <v>0.2136</v>
      </c>
      <c r="D31" s="88" t="n">
        <v>0.2136</v>
      </c>
      <c r="E31" s="82" t="n">
        <f aca="false">IF(D31="","",C31-D31)</f>
        <v>0</v>
      </c>
    </row>
    <row r="32" customFormat="false" ht="15" hidden="false" customHeight="true" outlineLevel="0" collapsed="false">
      <c r="A32" s="87" t="s">
        <v>422</v>
      </c>
      <c r="B32" s="44" t="s">
        <v>432</v>
      </c>
      <c r="C32" s="64" t="n">
        <f aca="false">C30*C31</f>
        <v>37729.276584</v>
      </c>
      <c r="D32" s="83" t="str">
        <f aca="false">IF(D30="","",D30*D31)</f>
        <v/>
      </c>
      <c r="E32" s="84" t="str">
        <f aca="false">IF(D32="","",C32-D32)</f>
        <v/>
      </c>
    </row>
    <row r="33" customFormat="false" ht="15" hidden="false" customHeight="true" outlineLevel="0" collapsed="false">
      <c r="A33" s="86" t="s">
        <v>420</v>
      </c>
      <c r="B33" s="42" t="s">
        <v>433</v>
      </c>
      <c r="C33" s="55" t="n">
        <v>19682.13</v>
      </c>
      <c r="D33" s="55" t="n">
        <v>19682.13</v>
      </c>
      <c r="E33" s="82" t="n">
        <f aca="false">IF(D33="","",C33-D33)</f>
        <v>0</v>
      </c>
    </row>
    <row r="34" customFormat="false" ht="15" hidden="false" customHeight="true" outlineLevel="0" collapsed="false">
      <c r="A34" s="87" t="s">
        <v>422</v>
      </c>
      <c r="B34" s="44" t="s">
        <v>434</v>
      </c>
      <c r="C34" s="64" t="n">
        <f aca="false">C32+C33</f>
        <v>57411.406584</v>
      </c>
      <c r="D34" s="83" t="str">
        <f aca="false">IF(D32="","",D32+D33)</f>
        <v/>
      </c>
      <c r="E34" s="84" t="str">
        <f aca="false">IF(D34="","",C34-D34)</f>
        <v/>
      </c>
    </row>
    <row r="35" customFormat="false" ht="15" hidden="false" customHeight="true" outlineLevel="0" collapsed="false">
      <c r="A35" s="66" t="s">
        <v>435</v>
      </c>
      <c r="B35" s="66"/>
      <c r="C35" s="66"/>
      <c r="D35" s="66"/>
      <c r="E35" s="66"/>
    </row>
    <row r="36" customFormat="false" ht="15" hidden="false" customHeight="true" outlineLevel="0" collapsed="false">
      <c r="A36" s="86" t="s">
        <v>418</v>
      </c>
      <c r="B36" s="42" t="s">
        <v>436</v>
      </c>
      <c r="C36" s="55" t="n">
        <v>0</v>
      </c>
      <c r="D36" s="81"/>
      <c r="E36" s="82" t="str">
        <f aca="false">IF(D36="","",C36-D36)</f>
        <v/>
      </c>
    </row>
    <row r="37" customFormat="false" ht="15" hidden="false" customHeight="true" outlineLevel="0" collapsed="false">
      <c r="A37" s="87" t="s">
        <v>422</v>
      </c>
      <c r="B37" s="44" t="s">
        <v>437</v>
      </c>
      <c r="C37" s="64" t="n">
        <f aca="false">MAX(C34-C36,0)</f>
        <v>57411.406584</v>
      </c>
      <c r="D37" s="83" t="str">
        <f aca="false">IF(D34="","",MAX(D34-D36,0))</f>
        <v/>
      </c>
      <c r="E37" s="84" t="str">
        <f aca="false">IF(D37="","",C37-D37)</f>
        <v/>
      </c>
    </row>
    <row r="38" customFormat="false" ht="15" hidden="false" customHeight="true" outlineLevel="0" collapsed="false">
      <c r="A38" s="86" t="s">
        <v>418</v>
      </c>
      <c r="B38" s="42" t="s">
        <v>438</v>
      </c>
      <c r="C38" s="55" t="n">
        <f aca="false">SUM(CONCENTRADO!AJ61)</f>
        <v>59948.37</v>
      </c>
      <c r="D38" s="81"/>
      <c r="E38" s="82" t="str">
        <f aca="false">IF(D38="","",C38-D38)</f>
        <v/>
      </c>
    </row>
    <row r="39" customFormat="false" ht="15" hidden="false" customHeight="true" outlineLevel="0" collapsed="false">
      <c r="A39" s="87" t="s">
        <v>422</v>
      </c>
      <c r="B39" s="44" t="str">
        <f aca="false">IF(C37-C38&gt;=0,"RESULTADO: ISR A CARGO","RESULTADO: ISR A FAVOR")</f>
        <v>RESULTADO: ISR A FAVOR</v>
      </c>
      <c r="C39" s="64" t="n">
        <f aca="false">ABS(C37-C38)</f>
        <v>2536.96341600001</v>
      </c>
      <c r="D39" s="83" t="str">
        <f aca="false">IF(OR(D37="",D38=""),"",D37-D38)</f>
        <v/>
      </c>
      <c r="E39" s="84" t="str">
        <f aca="false">IF(D39="","",C39-D39)</f>
        <v/>
      </c>
    </row>
    <row r="41" customFormat="false" ht="49.5" hidden="false" customHeight="true" outlineLevel="0" collapsed="false">
      <c r="A41" s="7" t="s">
        <v>439</v>
      </c>
      <c r="B41" s="7"/>
      <c r="C41" s="7"/>
      <c r="D41" s="7"/>
      <c r="E41" s="7"/>
    </row>
    <row r="44" customFormat="false" ht="15" hidden="false" customHeight="true" outlineLevel="0" collapsed="false">
      <c r="A44" s="89" t="s">
        <v>440</v>
      </c>
      <c r="B44" s="89"/>
      <c r="C44" s="89"/>
    </row>
    <row r="45" customFormat="false" ht="15" hidden="false" customHeight="true" outlineLevel="0" collapsed="false">
      <c r="A45" s="54" t="s">
        <v>24</v>
      </c>
      <c r="B45" s="54" t="s">
        <v>407</v>
      </c>
      <c r="C45" s="54" t="s">
        <v>441</v>
      </c>
    </row>
    <row r="46" customFormat="false" ht="15" hidden="false" customHeight="true" outlineLevel="0" collapsed="false">
      <c r="A46" s="54" t="s">
        <v>442</v>
      </c>
      <c r="B46" s="54" t="s">
        <v>443</v>
      </c>
      <c r="C46" s="90" t="n">
        <v>3733.62</v>
      </c>
    </row>
    <row r="47" customFormat="false" ht="15" hidden="false" customHeight="true" outlineLevel="0" collapsed="false">
      <c r="A47" s="54" t="s">
        <v>442</v>
      </c>
      <c r="B47" s="54" t="s">
        <v>444</v>
      </c>
      <c r="C47" s="90" t="n">
        <v>68.55</v>
      </c>
    </row>
    <row r="49" customFormat="false" ht="15" hidden="false" customHeight="true" outlineLevel="0" collapsed="false">
      <c r="A49" s="54" t="s">
        <v>265</v>
      </c>
      <c r="B49" s="54" t="s">
        <v>445</v>
      </c>
      <c r="C49" s="90" t="n">
        <v>3802.17</v>
      </c>
    </row>
    <row r="50" customFormat="false" ht="15" hidden="false" customHeight="true" outlineLevel="0" collapsed="false">
      <c r="A50" s="54" t="s">
        <v>265</v>
      </c>
      <c r="B50" s="54" t="s">
        <v>446</v>
      </c>
      <c r="C50" s="91" t="n">
        <v>0</v>
      </c>
    </row>
    <row r="52" customFormat="false" ht="15" hidden="false" customHeight="true" outlineLevel="0" collapsed="false">
      <c r="A52" s="92" t="n">
        <v>0</v>
      </c>
      <c r="B52" s="54" t="s">
        <v>447</v>
      </c>
      <c r="C52" s="90" t="n">
        <v>-3802.17</v>
      </c>
    </row>
    <row r="54" customFormat="false" ht="60" hidden="false" customHeight="true" outlineLevel="0" collapsed="false">
      <c r="A54" s="7" t="s">
        <v>448</v>
      </c>
      <c r="B54" s="7"/>
      <c r="C54" s="7"/>
      <c r="D54" s="7"/>
      <c r="E54" s="7"/>
      <c r="F54" s="7"/>
      <c r="G54" s="7"/>
      <c r="H54" s="7"/>
    </row>
  </sheetData>
  <mergeCells count="13">
    <mergeCell ref="A1:E1"/>
    <mergeCell ref="A3:E3"/>
    <mergeCell ref="A7:B7"/>
    <mergeCell ref="A9:E9"/>
    <mergeCell ref="A16:B16"/>
    <mergeCell ref="A18:E18"/>
    <mergeCell ref="A20:E20"/>
    <mergeCell ref="A25:E25"/>
    <mergeCell ref="A28:E28"/>
    <mergeCell ref="A35:E35"/>
    <mergeCell ref="A41:E41"/>
    <mergeCell ref="A44:C44"/>
    <mergeCell ref="A54:H54"/>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4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A1" activeCellId="0" sqref="A1"/>
    </sheetView>
  </sheetViews>
  <sheetFormatPr defaultColWidth="8.6796875" defaultRowHeight="15" zeroHeight="false" outlineLevelRow="0" outlineLevelCol="0"/>
  <cols>
    <col collapsed="false" customWidth="true" hidden="false" outlineLevel="0" max="1" min="1" style="1" width="4.71"/>
    <col collapsed="false" customWidth="true" hidden="false" outlineLevel="0" max="4" min="2" style="1" width="11.71"/>
    <col collapsed="false" customWidth="true" hidden="false" outlineLevel="0" max="6" min="5" style="1" width="36.71"/>
    <col collapsed="false" customWidth="true" hidden="false" outlineLevel="0" max="7" min="7" style="1" width="14.71"/>
    <col collapsed="false" customWidth="true" hidden="false" outlineLevel="0" max="8" min="8" style="1" width="28.71"/>
    <col collapsed="false" customWidth="true" hidden="false" outlineLevel="0" max="9" min="9" style="1" width="16.71"/>
    <col collapsed="false" customWidth="true" hidden="false" outlineLevel="0" max="14" min="10" style="1" width="13.71"/>
    <col collapsed="false" customWidth="true" hidden="false" outlineLevel="0" max="15" min="15" style="1" width="14.71"/>
    <col collapsed="false" customWidth="true" hidden="false" outlineLevel="0" max="16" min="16" style="1" width="12.71"/>
    <col collapsed="false" customWidth="true" hidden="false" outlineLevel="0" max="17" min="17" style="1" width="30.71"/>
  </cols>
  <sheetData>
    <row r="1" customFormat="false" ht="30" hidden="false" customHeight="true" outlineLevel="0" collapsed="false">
      <c r="A1" s="50" t="s">
        <v>449</v>
      </c>
      <c r="B1" s="50"/>
      <c r="C1" s="50"/>
      <c r="D1" s="50"/>
      <c r="E1" s="50"/>
      <c r="F1" s="50"/>
      <c r="G1" s="50"/>
      <c r="H1" s="50"/>
      <c r="I1" s="50"/>
      <c r="J1" s="50"/>
      <c r="K1" s="50"/>
      <c r="L1" s="50"/>
      <c r="M1" s="50"/>
      <c r="N1" s="50"/>
      <c r="O1" s="50"/>
      <c r="P1" s="50"/>
      <c r="Q1" s="50"/>
    </row>
    <row r="3" customFormat="false" ht="36" hidden="false" customHeight="true" outlineLevel="0" collapsed="false">
      <c r="A3" s="52" t="s">
        <v>284</v>
      </c>
      <c r="B3" s="52" t="s">
        <v>450</v>
      </c>
      <c r="C3" s="52" t="s">
        <v>451</v>
      </c>
      <c r="D3" s="52" t="s">
        <v>452</v>
      </c>
      <c r="E3" s="52" t="s">
        <v>91</v>
      </c>
      <c r="F3" s="52" t="s">
        <v>453</v>
      </c>
      <c r="G3" s="52" t="s">
        <v>454</v>
      </c>
      <c r="H3" s="52" t="s">
        <v>455</v>
      </c>
      <c r="I3" s="52" t="s">
        <v>456</v>
      </c>
      <c r="J3" s="52" t="s">
        <v>457</v>
      </c>
      <c r="K3" s="93" t="s">
        <v>458</v>
      </c>
      <c r="L3" s="57" t="s">
        <v>459</v>
      </c>
      <c r="M3" s="93" t="s">
        <v>460</v>
      </c>
      <c r="N3" s="93" t="s">
        <v>461</v>
      </c>
      <c r="O3" s="52" t="s">
        <v>462</v>
      </c>
      <c r="P3" s="52" t="s">
        <v>463</v>
      </c>
      <c r="Q3" s="52" t="s">
        <v>464</v>
      </c>
    </row>
    <row r="4" customFormat="false" ht="32.25" hidden="false" customHeight="true" outlineLevel="0" collapsed="false">
      <c r="A4" s="94" t="n">
        <v>1</v>
      </c>
      <c r="B4" s="94" t="s">
        <v>465</v>
      </c>
      <c r="C4" s="94" t="s">
        <v>466</v>
      </c>
      <c r="D4" s="95" t="n">
        <v>45908.6536574074</v>
      </c>
      <c r="E4" s="96" t="s">
        <v>467</v>
      </c>
      <c r="F4" s="96"/>
      <c r="G4" s="96" t="s">
        <v>468</v>
      </c>
      <c r="H4" s="96" t="s">
        <v>469</v>
      </c>
      <c r="I4" s="96" t="s">
        <v>470</v>
      </c>
      <c r="J4" s="97" t="n">
        <v>2700</v>
      </c>
      <c r="K4" s="98" t="n">
        <v>2700</v>
      </c>
      <c r="L4" s="99"/>
      <c r="M4" s="98" t="str">
        <f aca="false">IF(L4="","",J4-L4)</f>
        <v/>
      </c>
      <c r="N4" s="98" t="str">
        <f aca="false">IF(L4="","",K4-L4)</f>
        <v/>
      </c>
      <c r="O4" s="96" t="s">
        <v>471</v>
      </c>
      <c r="P4" s="94" t="s">
        <v>472</v>
      </c>
      <c r="Q4" s="96" t="s">
        <v>473</v>
      </c>
    </row>
    <row r="5" customFormat="false" ht="32.25" hidden="false" customHeight="true" outlineLevel="0" collapsed="false">
      <c r="A5" s="94" t="n">
        <v>2</v>
      </c>
      <c r="B5" s="94" t="s">
        <v>465</v>
      </c>
      <c r="C5" s="94" t="s">
        <v>466</v>
      </c>
      <c r="D5" s="95" t="n">
        <v>45930.9714583333</v>
      </c>
      <c r="E5" s="96" t="s">
        <v>474</v>
      </c>
      <c r="F5" s="96"/>
      <c r="G5" s="96" t="s">
        <v>475</v>
      </c>
      <c r="H5" s="96" t="s">
        <v>476</v>
      </c>
      <c r="I5" s="96" t="s">
        <v>477</v>
      </c>
      <c r="J5" s="97" t="n">
        <v>4500</v>
      </c>
      <c r="K5" s="98" t="n">
        <v>4500</v>
      </c>
      <c r="L5" s="99"/>
      <c r="M5" s="98" t="str">
        <f aca="false">IF(L5="","",J5-L5)</f>
        <v/>
      </c>
      <c r="N5" s="98" t="str">
        <f aca="false">IF(L5="","",K5-L5)</f>
        <v/>
      </c>
      <c r="O5" s="96" t="s">
        <v>478</v>
      </c>
      <c r="P5" s="94" t="s">
        <v>472</v>
      </c>
      <c r="Q5" s="96" t="s">
        <v>479</v>
      </c>
    </row>
    <row r="6" customFormat="false" ht="32.25" hidden="false" customHeight="true" outlineLevel="0" collapsed="false">
      <c r="A6" s="94" t="n">
        <v>3</v>
      </c>
      <c r="B6" s="94" t="s">
        <v>465</v>
      </c>
      <c r="C6" s="94" t="s">
        <v>466</v>
      </c>
      <c r="D6" s="95" t="n">
        <v>45944.4419675926</v>
      </c>
      <c r="E6" s="96" t="s">
        <v>480</v>
      </c>
      <c r="F6" s="96"/>
      <c r="G6" s="96" t="s">
        <v>468</v>
      </c>
      <c r="H6" s="96" t="s">
        <v>469</v>
      </c>
      <c r="I6" s="96" t="s">
        <v>470</v>
      </c>
      <c r="J6" s="97" t="n">
        <v>2700</v>
      </c>
      <c r="K6" s="98" t="n">
        <v>2700</v>
      </c>
      <c r="L6" s="99"/>
      <c r="M6" s="98" t="str">
        <f aca="false">IF(L6="","",J6-L6)</f>
        <v/>
      </c>
      <c r="N6" s="98" t="str">
        <f aca="false">IF(L6="","",K6-L6)</f>
        <v/>
      </c>
      <c r="O6" s="96" t="s">
        <v>471</v>
      </c>
      <c r="P6" s="94" t="s">
        <v>472</v>
      </c>
      <c r="Q6" s="96" t="s">
        <v>481</v>
      </c>
    </row>
    <row r="7" customFormat="false" ht="32.25" hidden="false" customHeight="true" outlineLevel="0" collapsed="false">
      <c r="A7" s="94" t="n">
        <v>4</v>
      </c>
      <c r="B7" s="94" t="s">
        <v>465</v>
      </c>
      <c r="C7" s="94" t="s">
        <v>466</v>
      </c>
      <c r="D7" s="95" t="n">
        <v>45967.4036111111</v>
      </c>
      <c r="E7" s="96" t="s">
        <v>482</v>
      </c>
      <c r="F7" s="96"/>
      <c r="G7" s="96" t="s">
        <v>468</v>
      </c>
      <c r="H7" s="96" t="s">
        <v>469</v>
      </c>
      <c r="I7" s="96" t="s">
        <v>470</v>
      </c>
      <c r="J7" s="97" t="n">
        <v>2700</v>
      </c>
      <c r="K7" s="98" t="n">
        <v>2700</v>
      </c>
      <c r="L7" s="99"/>
      <c r="M7" s="98" t="str">
        <f aca="false">IF(L7="","",J7-L7)</f>
        <v/>
      </c>
      <c r="N7" s="98" t="str">
        <f aca="false">IF(L7="","",K7-L7)</f>
        <v/>
      </c>
      <c r="O7" s="96" t="s">
        <v>471</v>
      </c>
      <c r="P7" s="94" t="s">
        <v>472</v>
      </c>
      <c r="Q7" s="96" t="s">
        <v>483</v>
      </c>
    </row>
    <row r="8" customFormat="false" ht="32.25" hidden="false" customHeight="true" outlineLevel="0" collapsed="false">
      <c r="A8" s="94" t="n">
        <v>5</v>
      </c>
      <c r="B8" s="94" t="s">
        <v>465</v>
      </c>
      <c r="C8" s="94" t="s">
        <v>466</v>
      </c>
      <c r="D8" s="95" t="n">
        <v>45986.5946180556</v>
      </c>
      <c r="E8" s="96" t="s">
        <v>484</v>
      </c>
      <c r="F8" s="96"/>
      <c r="G8" s="96" t="s">
        <v>468</v>
      </c>
      <c r="H8" s="96" t="s">
        <v>469</v>
      </c>
      <c r="I8" s="96" t="s">
        <v>470</v>
      </c>
      <c r="J8" s="97" t="n">
        <v>2700</v>
      </c>
      <c r="K8" s="98" t="n">
        <v>2700</v>
      </c>
      <c r="L8" s="99"/>
      <c r="M8" s="98" t="str">
        <f aca="false">IF(L8="","",J8-L8)</f>
        <v/>
      </c>
      <c r="N8" s="98" t="str">
        <f aca="false">IF(L8="","",K8-L8)</f>
        <v/>
      </c>
      <c r="O8" s="96" t="s">
        <v>471</v>
      </c>
      <c r="P8" s="94" t="s">
        <v>472</v>
      </c>
      <c r="Q8" s="96" t="s">
        <v>485</v>
      </c>
    </row>
    <row r="9" customFormat="false" ht="32.25" hidden="false" customHeight="true" outlineLevel="0" collapsed="false">
      <c r="A9" s="94" t="n">
        <v>6</v>
      </c>
      <c r="B9" s="94" t="s">
        <v>465</v>
      </c>
      <c r="C9" s="94" t="s">
        <v>466</v>
      </c>
      <c r="D9" s="95" t="n">
        <v>46003.6372222222</v>
      </c>
      <c r="E9" s="96" t="s">
        <v>486</v>
      </c>
      <c r="F9" s="96"/>
      <c r="G9" s="96" t="s">
        <v>468</v>
      </c>
      <c r="H9" s="96" t="s">
        <v>469</v>
      </c>
      <c r="I9" s="96" t="s">
        <v>470</v>
      </c>
      <c r="J9" s="97" t="n">
        <v>2700</v>
      </c>
      <c r="K9" s="98" t="n">
        <v>2700</v>
      </c>
      <c r="L9" s="99"/>
      <c r="M9" s="98" t="str">
        <f aca="false">IF(L9="","",J9-L9)</f>
        <v/>
      </c>
      <c r="N9" s="98" t="str">
        <f aca="false">IF(L9="","",K9-L9)</f>
        <v/>
      </c>
      <c r="O9" s="96" t="s">
        <v>471</v>
      </c>
      <c r="P9" s="94" t="s">
        <v>472</v>
      </c>
      <c r="Q9" s="96" t="s">
        <v>487</v>
      </c>
    </row>
    <row r="10" customFormat="false" ht="15" hidden="false" customHeight="true" outlineLevel="0" collapsed="false">
      <c r="A10" s="100" t="s">
        <v>488</v>
      </c>
      <c r="B10" s="100"/>
      <c r="C10" s="100"/>
      <c r="D10" s="100"/>
      <c r="E10" s="100"/>
      <c r="F10" s="100"/>
      <c r="G10" s="100"/>
      <c r="H10" s="100"/>
      <c r="I10" s="100"/>
      <c r="J10" s="56" t="n">
        <f aca="false">SUM(J4:J9)</f>
        <v>18000</v>
      </c>
      <c r="K10" s="56" t="n">
        <f aca="false">SUM(K4:K9)</f>
        <v>18000</v>
      </c>
      <c r="L10" s="56" t="n">
        <f aca="false">SUM(L4:L9)</f>
        <v>0</v>
      </c>
      <c r="M10" s="56" t="n">
        <f aca="false">SUM(M4:M9)</f>
        <v>0</v>
      </c>
      <c r="N10" s="56" t="n">
        <f aca="false">SUM(N4:N9)</f>
        <v>0</v>
      </c>
      <c r="O10" s="100"/>
      <c r="P10" s="100"/>
      <c r="Q10" s="100"/>
    </row>
    <row r="13" customFormat="false" ht="15" hidden="false" customHeight="true" outlineLevel="0" collapsed="false">
      <c r="A13" s="65" t="s">
        <v>489</v>
      </c>
      <c r="B13" s="65"/>
      <c r="C13" s="65"/>
      <c r="D13" s="65"/>
      <c r="E13" s="65"/>
    </row>
    <row r="14" customFormat="false" ht="15" hidden="false" customHeight="true" outlineLevel="0" collapsed="false">
      <c r="A14" s="69" t="s">
        <v>490</v>
      </c>
      <c r="B14" s="69" t="s">
        <v>407</v>
      </c>
      <c r="C14" s="69" t="s">
        <v>491</v>
      </c>
      <c r="D14" s="69" t="s">
        <v>492</v>
      </c>
      <c r="E14" s="69" t="s">
        <v>493</v>
      </c>
    </row>
    <row r="15" customFormat="false" ht="15" hidden="false" customHeight="true" outlineLevel="0" collapsed="false">
      <c r="A15" s="101" t="s">
        <v>494</v>
      </c>
      <c r="B15" s="101"/>
      <c r="C15" s="101"/>
      <c r="D15" s="101"/>
      <c r="E15" s="101"/>
    </row>
    <row r="16" customFormat="false" ht="15" hidden="false" customHeight="true" outlineLevel="0" collapsed="false">
      <c r="A16" s="71" t="s">
        <v>495</v>
      </c>
      <c r="B16" s="71" t="s">
        <v>496</v>
      </c>
      <c r="C16" s="55" t="n">
        <v>4500</v>
      </c>
      <c r="D16" s="55" t="n">
        <v>4500</v>
      </c>
      <c r="E16" s="102"/>
    </row>
    <row r="17" customFormat="false" ht="15" hidden="false" customHeight="true" outlineLevel="0" collapsed="false">
      <c r="A17" s="103"/>
      <c r="B17" s="103" t="s">
        <v>497</v>
      </c>
      <c r="C17" s="104" t="n">
        <v>4500</v>
      </c>
      <c r="D17" s="104" t="n">
        <v>4500</v>
      </c>
      <c r="E17" s="103"/>
    </row>
    <row r="18" customFormat="false" ht="15" hidden="false" customHeight="true" outlineLevel="0" collapsed="false">
      <c r="B18" s="71" t="s">
        <v>498</v>
      </c>
      <c r="C18" s="55" t="n">
        <v>206367.6</v>
      </c>
    </row>
    <row r="19" customFormat="false" ht="15" hidden="false" customHeight="true" outlineLevel="0" collapsed="false">
      <c r="B19" s="71" t="s">
        <v>499</v>
      </c>
      <c r="C19" s="55" t="n">
        <v>87184.0155</v>
      </c>
    </row>
    <row r="20" customFormat="false" ht="15" hidden="false" customHeight="true" outlineLevel="0" collapsed="false">
      <c r="B20" s="71" t="s">
        <v>500</v>
      </c>
      <c r="C20" s="55" t="n">
        <v>87184.0155</v>
      </c>
    </row>
    <row r="21" customFormat="false" ht="15" hidden="false" customHeight="true" outlineLevel="0" collapsed="false">
      <c r="B21" s="71" t="s">
        <v>501</v>
      </c>
      <c r="C21" s="105" t="n">
        <v>1</v>
      </c>
    </row>
    <row r="23" customFormat="false" ht="15" hidden="false" customHeight="true" outlineLevel="0" collapsed="false">
      <c r="A23" s="101" t="s">
        <v>502</v>
      </c>
      <c r="B23" s="101"/>
      <c r="C23" s="101"/>
      <c r="D23" s="101"/>
      <c r="E23" s="101"/>
    </row>
    <row r="24" customFormat="false" ht="15" hidden="false" customHeight="true" outlineLevel="0" collapsed="false">
      <c r="A24" s="71" t="s">
        <v>503</v>
      </c>
      <c r="B24" s="71" t="s">
        <v>504</v>
      </c>
      <c r="C24" s="55" t="n">
        <v>13500</v>
      </c>
      <c r="D24" s="55" t="n">
        <v>13500</v>
      </c>
      <c r="E24" s="102"/>
    </row>
    <row r="25" customFormat="false" ht="15" hidden="false" customHeight="true" outlineLevel="0" collapsed="false">
      <c r="A25" s="103"/>
      <c r="B25" s="103" t="s">
        <v>505</v>
      </c>
      <c r="C25" s="104" t="n">
        <v>13500</v>
      </c>
      <c r="D25" s="104" t="n">
        <v>13500</v>
      </c>
      <c r="E25" s="103"/>
    </row>
    <row r="27" customFormat="false" ht="15" hidden="false" customHeight="true" outlineLevel="0" collapsed="false">
      <c r="A27" s="106"/>
      <c r="B27" s="106" t="s">
        <v>506</v>
      </c>
      <c r="C27" s="106"/>
      <c r="D27" s="64" t="n">
        <v>18000</v>
      </c>
      <c r="E27" s="106"/>
    </row>
    <row r="29" customFormat="false" ht="21.75" hidden="false" customHeight="true" outlineLevel="0" collapsed="false">
      <c r="A29" s="76" t="s">
        <v>507</v>
      </c>
      <c r="B29" s="76"/>
      <c r="C29" s="76"/>
      <c r="D29" s="76"/>
      <c r="E29" s="76"/>
    </row>
    <row r="30" customFormat="false" ht="15" hidden="false" customHeight="true" outlineLevel="0" collapsed="false">
      <c r="A30" s="107" t="s">
        <v>508</v>
      </c>
      <c r="B30" s="107"/>
      <c r="C30" s="107"/>
      <c r="D30" s="107"/>
      <c r="E30" s="107"/>
    </row>
    <row r="31" customFormat="false" ht="15" hidden="false" customHeight="true" outlineLevel="0" collapsed="false">
      <c r="A31" s="108" t="s">
        <v>509</v>
      </c>
      <c r="B31" s="108"/>
      <c r="C31" s="108"/>
      <c r="D31" s="108"/>
      <c r="E31" s="108"/>
    </row>
    <row r="32" customFormat="false" ht="30" hidden="false" customHeight="true" outlineLevel="0" collapsed="false">
      <c r="A32" s="109" t="s">
        <v>510</v>
      </c>
      <c r="B32" s="109"/>
      <c r="C32" s="109"/>
      <c r="D32" s="109"/>
      <c r="E32" s="109"/>
    </row>
    <row r="33" customFormat="false" ht="30" hidden="false" customHeight="true" outlineLevel="0" collapsed="false">
      <c r="A33" s="109" t="s">
        <v>511</v>
      </c>
      <c r="B33" s="109"/>
      <c r="C33" s="109"/>
      <c r="D33" s="109"/>
      <c r="E33" s="109"/>
    </row>
    <row r="34" customFormat="false" ht="15" hidden="false" customHeight="true" outlineLevel="0" collapsed="false">
      <c r="A34" s="107" t="s">
        <v>512</v>
      </c>
      <c r="B34" s="107"/>
      <c r="C34" s="107"/>
      <c r="D34" s="107"/>
      <c r="E34" s="107"/>
    </row>
    <row r="35" customFormat="false" ht="25.5" hidden="false" customHeight="true" outlineLevel="0" collapsed="false">
      <c r="A35" s="110" t="s">
        <v>513</v>
      </c>
      <c r="B35" s="110"/>
      <c r="C35" s="110"/>
      <c r="D35" s="110"/>
      <c r="E35" s="110"/>
    </row>
    <row r="36" customFormat="false" ht="25.5" hidden="false" customHeight="true" outlineLevel="0" collapsed="false">
      <c r="A36" s="110"/>
      <c r="B36" s="110"/>
      <c r="C36" s="110"/>
      <c r="D36" s="110"/>
      <c r="E36" s="110"/>
    </row>
    <row r="37" customFormat="false" ht="25.5" hidden="false" customHeight="true" outlineLevel="0" collapsed="false">
      <c r="A37" s="110"/>
      <c r="B37" s="110"/>
      <c r="C37" s="110"/>
      <c r="D37" s="110"/>
      <c r="E37" s="110"/>
    </row>
    <row r="38" customFormat="false" ht="15" hidden="false" customHeight="true" outlineLevel="0" collapsed="false">
      <c r="A38" s="107" t="s">
        <v>514</v>
      </c>
      <c r="B38" s="107"/>
      <c r="C38" s="107"/>
      <c r="D38" s="107"/>
      <c r="E38" s="107"/>
    </row>
    <row r="39" customFormat="false" ht="27.75" hidden="false" customHeight="true" outlineLevel="0" collapsed="false">
      <c r="A39" s="110" t="s">
        <v>515</v>
      </c>
      <c r="B39" s="110"/>
      <c r="C39" s="110"/>
      <c r="D39" s="110"/>
      <c r="E39" s="110"/>
    </row>
    <row r="40" customFormat="false" ht="27.75" hidden="false" customHeight="true" outlineLevel="0" collapsed="false">
      <c r="A40" s="110"/>
      <c r="B40" s="110"/>
      <c r="C40" s="110"/>
      <c r="D40" s="110"/>
      <c r="E40" s="110"/>
    </row>
    <row r="41" customFormat="false" ht="15" hidden="false" customHeight="true" outlineLevel="0" collapsed="false">
      <c r="A41" s="107" t="s">
        <v>516</v>
      </c>
      <c r="B41" s="107"/>
      <c r="C41" s="107"/>
      <c r="D41" s="107"/>
      <c r="E41" s="107"/>
    </row>
    <row r="43" customFormat="false" ht="21.75" hidden="false" customHeight="true" outlineLevel="0" collapsed="false">
      <c r="A43" s="111" t="s">
        <v>517</v>
      </c>
      <c r="B43" s="111"/>
      <c r="C43" s="111"/>
      <c r="D43" s="111"/>
      <c r="E43" s="111"/>
    </row>
    <row r="44" customFormat="false" ht="27.75" hidden="false" customHeight="true" outlineLevel="0" collapsed="false">
      <c r="A44" s="112" t="s">
        <v>518</v>
      </c>
      <c r="B44" s="112"/>
      <c r="C44" s="112"/>
      <c r="D44" s="112"/>
      <c r="E44" s="112"/>
    </row>
    <row r="45" customFormat="false" ht="27.75" hidden="false" customHeight="true" outlineLevel="0" collapsed="false">
      <c r="A45" s="112"/>
      <c r="B45" s="112"/>
      <c r="C45" s="112"/>
      <c r="D45" s="112"/>
      <c r="E45" s="112"/>
    </row>
    <row r="46" customFormat="false" ht="27.75" hidden="false" customHeight="true" outlineLevel="0" collapsed="false">
      <c r="A46" s="112"/>
      <c r="B46" s="112"/>
      <c r="C46" s="112"/>
      <c r="D46" s="112"/>
      <c r="E46" s="112"/>
    </row>
    <row r="48" customFormat="false" ht="69.75" hidden="false" customHeight="true" outlineLevel="0" collapsed="false">
      <c r="A48" s="7" t="s">
        <v>519</v>
      </c>
      <c r="B48" s="7"/>
      <c r="C48" s="7"/>
      <c r="D48" s="7"/>
      <c r="E48" s="7"/>
    </row>
  </sheetData>
  <autoFilter ref="A3:Q9"/>
  <mergeCells count="19">
    <mergeCell ref="A1:Q1"/>
    <mergeCell ref="A10:I10"/>
    <mergeCell ref="A13:E13"/>
    <mergeCell ref="A15:E15"/>
    <mergeCell ref="A23:E23"/>
    <mergeCell ref="B27:C27"/>
    <mergeCell ref="A29:E29"/>
    <mergeCell ref="A30:E30"/>
    <mergeCell ref="A31:E31"/>
    <mergeCell ref="A32:E32"/>
    <mergeCell ref="A33:E33"/>
    <mergeCell ref="A34:E34"/>
    <mergeCell ref="A35:E37"/>
    <mergeCell ref="A38:E38"/>
    <mergeCell ref="A39:E40"/>
    <mergeCell ref="A41:E41"/>
    <mergeCell ref="A43:E43"/>
    <mergeCell ref="A44:E46"/>
    <mergeCell ref="A48:E48"/>
  </mergeCells>
  <conditionalFormatting sqref="M4:M9">
    <cfRule type="cellIs" priority="2" operator="greaterThan" aboveAverage="0" equalAverage="0" bottom="0" percent="0" rank="0" text="" dxfId="15">
      <formula>0</formula>
    </cfRule>
  </conditionalFormatting>
  <conditionalFormatting sqref="N4:N9">
    <cfRule type="cellIs" priority="3" operator="greaterThan" aboveAverage="0" equalAverage="0" bottom="0" percent="0" rank="0" text="" dxfId="15">
      <formula>0</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8.6796875" defaultRowHeight="15" zeroHeight="false" outlineLevelRow="0" outlineLevelCol="0"/>
  <cols>
    <col collapsed="false" customWidth="true" hidden="false" outlineLevel="0" max="1" min="1" style="1" width="12.71"/>
    <col collapsed="false" customWidth="true" hidden="false" outlineLevel="0" max="2" min="2" style="1" width="38.71"/>
    <col collapsed="false" customWidth="true" hidden="false" outlineLevel="0" max="4" min="4" style="1" width="90.71"/>
    <col collapsed="false" customWidth="true" hidden="false" outlineLevel="0" max="5" min="5" style="1" width="40.71"/>
    <col collapsed="false" customWidth="true" hidden="false" outlineLevel="0" max="6" min="6" style="1" width="16.71"/>
    <col collapsed="false" customWidth="true" hidden="false" outlineLevel="0" max="7" min="7" style="1" width="36.71"/>
  </cols>
  <sheetData>
    <row r="1" customFormat="false" ht="31.5" hidden="false" customHeight="true" outlineLevel="0" collapsed="false">
      <c r="A1" s="113" t="s">
        <v>520</v>
      </c>
      <c r="B1" s="113"/>
      <c r="C1" s="113"/>
      <c r="D1" s="113"/>
      <c r="E1" s="113"/>
      <c r="F1" s="113"/>
      <c r="G1" s="113"/>
    </row>
    <row r="2" customFormat="false" ht="15" hidden="false" customHeight="true" outlineLevel="0" collapsed="false">
      <c r="A2" s="51" t="s">
        <v>521</v>
      </c>
      <c r="B2" s="51" t="s">
        <v>91</v>
      </c>
      <c r="C2" s="51" t="s">
        <v>522</v>
      </c>
      <c r="D2" s="51" t="s">
        <v>523</v>
      </c>
      <c r="E2" s="51" t="s">
        <v>524</v>
      </c>
      <c r="F2" s="51" t="s">
        <v>525</v>
      </c>
      <c r="G2" s="51" t="s">
        <v>526</v>
      </c>
    </row>
    <row r="3" customFormat="false" ht="23.25" hidden="false" customHeight="true" outlineLevel="0" collapsed="false">
      <c r="A3" s="79" t="s">
        <v>527</v>
      </c>
      <c r="B3" s="114" t="s">
        <v>528</v>
      </c>
      <c r="C3" s="114" t="s">
        <v>59</v>
      </c>
      <c r="D3" s="12" t="s">
        <v>529</v>
      </c>
      <c r="E3" s="12" t="s">
        <v>530</v>
      </c>
      <c r="F3" s="55" t="n">
        <v>3733.62</v>
      </c>
      <c r="G3" s="115" t="s">
        <v>531</v>
      </c>
    </row>
    <row r="4" customFormat="false" ht="15" hidden="false" customHeight="true" outlineLevel="0" collapsed="false">
      <c r="A4" s="79" t="s">
        <v>527</v>
      </c>
      <c r="B4" s="114" t="s">
        <v>528</v>
      </c>
      <c r="C4" s="114" t="s">
        <v>58</v>
      </c>
      <c r="D4" s="12" t="s">
        <v>532</v>
      </c>
      <c r="E4" s="12" t="s">
        <v>530</v>
      </c>
      <c r="F4" s="55" t="n">
        <v>68.55</v>
      </c>
      <c r="G4" s="115" t="s">
        <v>533</v>
      </c>
    </row>
    <row r="5" customFormat="false" ht="23.25" hidden="false" customHeight="true" outlineLevel="0" collapsed="false">
      <c r="A5" s="116" t="s">
        <v>534</v>
      </c>
      <c r="B5" s="114" t="s">
        <v>528</v>
      </c>
      <c r="C5" s="114"/>
      <c r="D5" s="12" t="s">
        <v>535</v>
      </c>
      <c r="E5" s="12" t="s">
        <v>536</v>
      </c>
      <c r="F5" s="114"/>
      <c r="G5" s="115" t="s">
        <v>537</v>
      </c>
    </row>
  </sheetData>
  <autoFilter ref="A2:G5"/>
  <mergeCells count="1">
    <mergeCell ref="A1:G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8" min="1" style="1" width="21.43"/>
  </cols>
  <sheetData>
    <row r="1" customFormat="false" ht="39.75" hidden="false" customHeight="true" outlineLevel="0" collapsed="false">
      <c r="A1" s="113" t="s">
        <v>538</v>
      </c>
      <c r="B1" s="113"/>
      <c r="C1" s="113"/>
      <c r="D1" s="113"/>
      <c r="E1" s="113"/>
      <c r="F1" s="113"/>
      <c r="G1" s="113"/>
      <c r="H1" s="113"/>
    </row>
    <row r="2" customFormat="false" ht="15" hidden="false" customHeight="true" outlineLevel="0" collapsed="false">
      <c r="A2" s="29" t="s">
        <v>539</v>
      </c>
      <c r="B2" s="29" t="s">
        <v>91</v>
      </c>
      <c r="C2" s="29" t="s">
        <v>93</v>
      </c>
      <c r="D2" s="29" t="s">
        <v>540</v>
      </c>
      <c r="E2" s="29" t="s">
        <v>456</v>
      </c>
      <c r="F2" s="29" t="s">
        <v>451</v>
      </c>
      <c r="G2" s="29" t="s">
        <v>541</v>
      </c>
      <c r="H2" s="29" t="s">
        <v>542</v>
      </c>
    </row>
    <row r="3" customFormat="false" ht="15" hidden="false" customHeight="true" outlineLevel="0" collapsed="false">
      <c r="A3" s="36" t="n">
        <v>45869.9999884259</v>
      </c>
      <c r="B3" s="35" t="s">
        <v>543</v>
      </c>
      <c r="C3" s="35" t="s">
        <v>544</v>
      </c>
      <c r="D3" s="35" t="s">
        <v>545</v>
      </c>
      <c r="E3" s="34" t="s">
        <v>546</v>
      </c>
      <c r="F3" s="34" t="s">
        <v>547</v>
      </c>
      <c r="G3" s="37" t="n">
        <v>46.4</v>
      </c>
      <c r="H3" s="35" t="s">
        <v>548</v>
      </c>
    </row>
    <row r="4" customFormat="false" ht="15" hidden="false" customHeight="true" outlineLevel="0" collapsed="false">
      <c r="A4" s="36" t="n">
        <v>45878.1469212963</v>
      </c>
      <c r="B4" s="35" t="s">
        <v>549</v>
      </c>
      <c r="C4" s="35" t="s">
        <v>297</v>
      </c>
      <c r="D4" s="35" t="s">
        <v>296</v>
      </c>
      <c r="E4" s="34" t="s">
        <v>546</v>
      </c>
      <c r="F4" s="34" t="s">
        <v>547</v>
      </c>
      <c r="G4" s="37" t="n">
        <v>0</v>
      </c>
      <c r="H4" s="35" t="s">
        <v>550</v>
      </c>
    </row>
    <row r="5" customFormat="false" ht="15" hidden="false" customHeight="true" outlineLevel="0" collapsed="false">
      <c r="A5" s="36" t="n">
        <v>45907.9482060185</v>
      </c>
      <c r="B5" s="35" t="s">
        <v>551</v>
      </c>
      <c r="C5" s="35" t="s">
        <v>297</v>
      </c>
      <c r="D5" s="35" t="s">
        <v>296</v>
      </c>
      <c r="E5" s="34" t="s">
        <v>546</v>
      </c>
      <c r="F5" s="34" t="s">
        <v>547</v>
      </c>
      <c r="G5" s="37" t="n">
        <v>0</v>
      </c>
      <c r="H5" s="35" t="s">
        <v>550</v>
      </c>
    </row>
    <row r="6" customFormat="false" ht="15" hidden="false" customHeight="true" outlineLevel="0" collapsed="false">
      <c r="A6" s="36" t="n">
        <v>45928.2059375</v>
      </c>
      <c r="B6" s="35" t="s">
        <v>552</v>
      </c>
      <c r="C6" s="35" t="s">
        <v>297</v>
      </c>
      <c r="D6" s="35" t="s">
        <v>296</v>
      </c>
      <c r="E6" s="34" t="s">
        <v>546</v>
      </c>
      <c r="F6" s="34" t="s">
        <v>547</v>
      </c>
      <c r="G6" s="37" t="n">
        <v>842.04</v>
      </c>
      <c r="H6" s="35" t="s">
        <v>553</v>
      </c>
    </row>
    <row r="7" customFormat="false" ht="15" hidden="false" customHeight="true" outlineLevel="0" collapsed="false">
      <c r="A7" s="36" t="n">
        <v>45935.7684143519</v>
      </c>
      <c r="B7" s="35" t="s">
        <v>554</v>
      </c>
      <c r="C7" s="35" t="s">
        <v>297</v>
      </c>
      <c r="D7" s="35" t="s">
        <v>296</v>
      </c>
      <c r="E7" s="34" t="s">
        <v>546</v>
      </c>
      <c r="F7" s="34" t="s">
        <v>547</v>
      </c>
      <c r="G7" s="37" t="n">
        <v>0</v>
      </c>
      <c r="H7" s="35" t="s">
        <v>550</v>
      </c>
    </row>
    <row r="8" customFormat="false" ht="15" hidden="false" customHeight="true" outlineLevel="0" collapsed="false">
      <c r="A8" s="36" t="n">
        <v>45969.3269444444</v>
      </c>
      <c r="B8" s="35" t="s">
        <v>555</v>
      </c>
      <c r="C8" s="35" t="s">
        <v>297</v>
      </c>
      <c r="D8" s="35" t="s">
        <v>296</v>
      </c>
      <c r="E8" s="34" t="s">
        <v>546</v>
      </c>
      <c r="F8" s="34" t="s">
        <v>547</v>
      </c>
      <c r="G8" s="37" t="n">
        <v>0</v>
      </c>
      <c r="H8" s="35" t="s">
        <v>550</v>
      </c>
    </row>
    <row r="9" customFormat="false" ht="15" hidden="false" customHeight="true" outlineLevel="0" collapsed="false">
      <c r="A9" s="36" t="n">
        <v>45997.4066319445</v>
      </c>
      <c r="B9" s="35" t="s">
        <v>556</v>
      </c>
      <c r="C9" s="35" t="s">
        <v>297</v>
      </c>
      <c r="D9" s="35" t="s">
        <v>296</v>
      </c>
      <c r="E9" s="34" t="s">
        <v>546</v>
      </c>
      <c r="F9" s="34" t="s">
        <v>547</v>
      </c>
      <c r="G9" s="37" t="n">
        <v>0</v>
      </c>
      <c r="H9" s="35" t="s">
        <v>550</v>
      </c>
    </row>
  </sheetData>
  <mergeCells count="1">
    <mergeCell ref="A1:H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C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2" min="2" style="1" width="50"/>
    <col collapsed="false" customWidth="true" hidden="false" outlineLevel="0" max="3" min="3" style="1" width="14.29"/>
  </cols>
  <sheetData>
    <row r="2" customFormat="false" ht="15" hidden="false" customHeight="true" outlineLevel="0" collapsed="false">
      <c r="B2" s="117" t="s">
        <v>557</v>
      </c>
      <c r="C2" s="117" t="s">
        <v>558</v>
      </c>
    </row>
    <row r="3" customFormat="false" ht="15" hidden="false" customHeight="true" outlineLevel="0" collapsed="false">
      <c r="B3" s="118" t="s">
        <v>559</v>
      </c>
      <c r="C3" s="119" t="n">
        <v>52</v>
      </c>
    </row>
    <row r="4" customFormat="false" ht="15" hidden="false" customHeight="true" outlineLevel="0" collapsed="false">
      <c r="B4" s="120" t="s">
        <v>560</v>
      </c>
      <c r="C4" s="121" t="n">
        <v>52</v>
      </c>
    </row>
    <row r="5" customFormat="false" ht="15" hidden="false" customHeight="true" outlineLevel="0" collapsed="false">
      <c r="B5" s="118" t="s">
        <v>561</v>
      </c>
      <c r="C5" s="119" t="n">
        <v>6</v>
      </c>
    </row>
    <row r="6" customFormat="false" ht="15" hidden="false" customHeight="true" outlineLevel="0" collapsed="false">
      <c r="B6" s="120" t="s">
        <v>477</v>
      </c>
      <c r="C6" s="121" t="n">
        <v>1</v>
      </c>
    </row>
    <row r="7" customFormat="false" ht="15" hidden="false" customHeight="true" outlineLevel="0" collapsed="false">
      <c r="B7" s="120" t="s">
        <v>470</v>
      </c>
      <c r="C7" s="121" t="n">
        <v>5</v>
      </c>
    </row>
    <row r="8" customFormat="false" ht="15" hidden="false" customHeight="true" outlineLevel="0" collapsed="false">
      <c r="B8" s="118" t="s">
        <v>562</v>
      </c>
      <c r="C8" s="119" t="n">
        <v>7</v>
      </c>
    </row>
    <row r="9" customFormat="false" ht="15" hidden="false" customHeight="true" outlineLevel="0" collapsed="false">
      <c r="B9" s="118" t="s">
        <v>563</v>
      </c>
      <c r="C9" s="119" t="n">
        <v>0</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V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48" min="1" style="1" width="16.29"/>
  </cols>
  <sheetData>
    <row r="1" customFormat="false" ht="15" hidden="false" customHeight="true" outlineLevel="0" collapsed="false">
      <c r="A1" s="15" t="s">
        <v>50</v>
      </c>
      <c r="B1" s="15"/>
      <c r="C1" s="15"/>
      <c r="D1" s="15"/>
      <c r="E1" s="15"/>
      <c r="F1" s="15"/>
      <c r="G1" s="15"/>
      <c r="H1" s="15"/>
      <c r="I1" s="15"/>
      <c r="J1" s="15"/>
      <c r="K1" s="15"/>
      <c r="L1" s="15"/>
      <c r="M1" s="15"/>
      <c r="N1" s="15"/>
      <c r="O1" s="15"/>
      <c r="P1" s="15"/>
      <c r="Q1" s="16" t="s">
        <v>51</v>
      </c>
      <c r="R1" s="16"/>
      <c r="S1" s="16"/>
      <c r="T1" s="16"/>
      <c r="U1" s="16"/>
      <c r="V1" s="16"/>
      <c r="W1" s="16"/>
      <c r="X1" s="16"/>
      <c r="Y1" s="16"/>
      <c r="Z1" s="17"/>
      <c r="AA1" s="18" t="s">
        <v>52</v>
      </c>
      <c r="AB1" s="18"/>
      <c r="AC1" s="18"/>
      <c r="AD1" s="18"/>
      <c r="AE1" s="18"/>
      <c r="AF1" s="18"/>
      <c r="AG1" s="18"/>
      <c r="AH1" s="17"/>
      <c r="AI1" s="17"/>
      <c r="AJ1" s="19" t="s">
        <v>53</v>
      </c>
      <c r="AK1" s="19"/>
      <c r="AL1" s="19"/>
      <c r="AM1" s="19"/>
      <c r="AN1" s="19"/>
      <c r="AO1" s="19"/>
      <c r="AP1" s="19"/>
      <c r="AQ1" s="17"/>
      <c r="AR1" s="20" t="s">
        <v>54</v>
      </c>
      <c r="AS1" s="17"/>
      <c r="AT1" s="15" t="s">
        <v>55</v>
      </c>
      <c r="AU1" s="15"/>
      <c r="AV1" s="15"/>
    </row>
    <row r="2" customFormat="false" ht="15" hidden="false" customHeight="true" outlineLevel="0" collapsed="false">
      <c r="A2" s="15"/>
      <c r="B2" s="15"/>
      <c r="C2" s="15"/>
      <c r="D2" s="15"/>
      <c r="E2" s="15"/>
      <c r="F2" s="15"/>
      <c r="G2" s="15"/>
      <c r="H2" s="15"/>
      <c r="I2" s="15"/>
      <c r="J2" s="15"/>
      <c r="K2" s="15"/>
      <c r="L2" s="15"/>
      <c r="M2" s="15"/>
      <c r="N2" s="15"/>
      <c r="O2" s="15"/>
      <c r="P2" s="15"/>
      <c r="Q2" s="21" t="s">
        <v>56</v>
      </c>
      <c r="R2" s="21" t="s">
        <v>56</v>
      </c>
      <c r="S2" s="21" t="s">
        <v>56</v>
      </c>
      <c r="T2" s="21" t="s">
        <v>56</v>
      </c>
      <c r="U2" s="21" t="s">
        <v>56</v>
      </c>
      <c r="V2" s="21" t="s">
        <v>56</v>
      </c>
      <c r="W2" s="21" t="s">
        <v>56</v>
      </c>
      <c r="X2" s="21" t="s">
        <v>56</v>
      </c>
      <c r="Y2" s="21" t="s">
        <v>56</v>
      </c>
      <c r="Z2" s="17"/>
      <c r="AA2" s="22" t="s">
        <v>56</v>
      </c>
      <c r="AB2" s="22" t="s">
        <v>56</v>
      </c>
      <c r="AC2" s="22" t="s">
        <v>56</v>
      </c>
      <c r="AD2" s="22" t="s">
        <v>56</v>
      </c>
      <c r="AE2" s="22" t="s">
        <v>56</v>
      </c>
      <c r="AF2" s="22" t="s">
        <v>56</v>
      </c>
      <c r="AG2" s="22" t="s">
        <v>56</v>
      </c>
      <c r="AH2" s="17"/>
      <c r="AI2" s="17"/>
      <c r="AJ2" s="23" t="s">
        <v>56</v>
      </c>
      <c r="AK2" s="23" t="s">
        <v>56</v>
      </c>
      <c r="AL2" s="23" t="s">
        <v>56</v>
      </c>
      <c r="AM2" s="23" t="s">
        <v>56</v>
      </c>
      <c r="AN2" s="23" t="s">
        <v>56</v>
      </c>
      <c r="AO2" s="23" t="s">
        <v>56</v>
      </c>
      <c r="AP2" s="23" t="s">
        <v>56</v>
      </c>
      <c r="AQ2" s="17"/>
      <c r="AR2" s="24" t="s">
        <v>56</v>
      </c>
      <c r="AS2" s="17"/>
      <c r="AT2" s="15"/>
      <c r="AU2" s="15"/>
      <c r="AV2" s="15"/>
    </row>
    <row r="3" customFormat="false" ht="15" hidden="false" customHeight="true" outlineLevel="0" collapsed="false">
      <c r="A3" s="15"/>
      <c r="B3" s="15"/>
      <c r="C3" s="15"/>
      <c r="D3" s="15"/>
      <c r="E3" s="15"/>
      <c r="F3" s="15"/>
      <c r="G3" s="15"/>
      <c r="H3" s="15"/>
      <c r="I3" s="15"/>
      <c r="J3" s="15"/>
      <c r="K3" s="15"/>
      <c r="L3" s="15"/>
      <c r="M3" s="15"/>
      <c r="N3" s="15"/>
      <c r="O3" s="15"/>
      <c r="P3" s="15"/>
      <c r="Q3" s="25" t="s">
        <v>57</v>
      </c>
      <c r="R3" s="25" t="s">
        <v>57</v>
      </c>
      <c r="S3" s="25" t="s">
        <v>58</v>
      </c>
      <c r="T3" s="25" t="s">
        <v>59</v>
      </c>
      <c r="U3" s="25" t="s">
        <v>60</v>
      </c>
      <c r="V3" s="25" t="s">
        <v>61</v>
      </c>
      <c r="W3" s="25" t="s">
        <v>62</v>
      </c>
      <c r="X3" s="25" t="s">
        <v>57</v>
      </c>
      <c r="Y3" s="25" t="s">
        <v>63</v>
      </c>
      <c r="Z3" s="17"/>
      <c r="AA3" s="26" t="s">
        <v>58</v>
      </c>
      <c r="AB3" s="26" t="s">
        <v>59</v>
      </c>
      <c r="AC3" s="26" t="s">
        <v>60</v>
      </c>
      <c r="AD3" s="26" t="s">
        <v>64</v>
      </c>
      <c r="AE3" s="26" t="s">
        <v>63</v>
      </c>
      <c r="AF3" s="26" t="s">
        <v>63</v>
      </c>
      <c r="AG3" s="26" t="s">
        <v>65</v>
      </c>
      <c r="AH3" s="17"/>
      <c r="AI3" s="17"/>
      <c r="AJ3" s="27" t="s">
        <v>60</v>
      </c>
      <c r="AK3" s="27" t="s">
        <v>57</v>
      </c>
      <c r="AL3" s="27" t="s">
        <v>66</v>
      </c>
      <c r="AM3" s="27" t="s">
        <v>67</v>
      </c>
      <c r="AN3" s="27" t="s">
        <v>67</v>
      </c>
      <c r="AO3" s="27" t="s">
        <v>57</v>
      </c>
      <c r="AP3" s="27" t="s">
        <v>68</v>
      </c>
      <c r="AQ3" s="17"/>
      <c r="AR3" s="28" t="s">
        <v>60</v>
      </c>
      <c r="AS3" s="17"/>
      <c r="AT3" s="15"/>
      <c r="AU3" s="15"/>
      <c r="AV3" s="15"/>
    </row>
    <row r="4" customFormat="false" ht="15" hidden="false" customHeight="true" outlineLevel="0" collapsed="false">
      <c r="A4" s="15"/>
      <c r="B4" s="15"/>
      <c r="C4" s="15"/>
      <c r="D4" s="15"/>
      <c r="E4" s="15"/>
      <c r="F4" s="15"/>
      <c r="G4" s="15"/>
      <c r="H4" s="15"/>
      <c r="I4" s="15"/>
      <c r="J4" s="15"/>
      <c r="K4" s="15"/>
      <c r="L4" s="15"/>
      <c r="M4" s="15"/>
      <c r="N4" s="15"/>
      <c r="O4" s="15"/>
      <c r="P4" s="15"/>
      <c r="Q4" s="21" t="s">
        <v>69</v>
      </c>
      <c r="R4" s="21" t="s">
        <v>69</v>
      </c>
      <c r="S4" s="21" t="s">
        <v>69</v>
      </c>
      <c r="T4" s="21" t="s">
        <v>69</v>
      </c>
      <c r="U4" s="21" t="s">
        <v>69</v>
      </c>
      <c r="V4" s="21" t="s">
        <v>69</v>
      </c>
      <c r="W4" s="21" t="s">
        <v>69</v>
      </c>
      <c r="X4" s="21" t="s">
        <v>69</v>
      </c>
      <c r="Y4" s="21" t="s">
        <v>69</v>
      </c>
      <c r="Z4" s="17"/>
      <c r="AA4" s="22" t="s">
        <v>69</v>
      </c>
      <c r="AB4" s="22" t="s">
        <v>69</v>
      </c>
      <c r="AC4" s="22" t="s">
        <v>69</v>
      </c>
      <c r="AD4" s="22" t="s">
        <v>69</v>
      </c>
      <c r="AE4" s="22" t="s">
        <v>69</v>
      </c>
      <c r="AF4" s="22" t="s">
        <v>69</v>
      </c>
      <c r="AG4" s="22" t="s">
        <v>69</v>
      </c>
      <c r="AH4" s="17"/>
      <c r="AI4" s="17"/>
      <c r="AJ4" s="23" t="s">
        <v>69</v>
      </c>
      <c r="AK4" s="23" t="s">
        <v>69</v>
      </c>
      <c r="AL4" s="23" t="s">
        <v>69</v>
      </c>
      <c r="AM4" s="23" t="s">
        <v>69</v>
      </c>
      <c r="AN4" s="23" t="s">
        <v>69</v>
      </c>
      <c r="AO4" s="23" t="s">
        <v>69</v>
      </c>
      <c r="AP4" s="23" t="s">
        <v>69</v>
      </c>
      <c r="AQ4" s="17"/>
      <c r="AR4" s="24" t="s">
        <v>69</v>
      </c>
      <c r="AS4" s="17"/>
      <c r="AT4" s="15"/>
      <c r="AU4" s="15"/>
      <c r="AV4" s="15"/>
    </row>
    <row r="5" customFormat="false" ht="15" hidden="false" customHeight="true" outlineLevel="0" collapsed="false">
      <c r="A5" s="15"/>
      <c r="B5" s="15"/>
      <c r="C5" s="15"/>
      <c r="D5" s="15"/>
      <c r="E5" s="15"/>
      <c r="F5" s="15"/>
      <c r="G5" s="15"/>
      <c r="H5" s="15"/>
      <c r="I5" s="15"/>
      <c r="J5" s="15"/>
      <c r="K5" s="15"/>
      <c r="L5" s="15"/>
      <c r="M5" s="15"/>
      <c r="N5" s="15"/>
      <c r="O5" s="15"/>
      <c r="P5" s="15"/>
      <c r="Q5" s="25" t="s">
        <v>57</v>
      </c>
      <c r="R5" s="25" t="s">
        <v>63</v>
      </c>
      <c r="S5" s="25" t="s">
        <v>70</v>
      </c>
      <c r="T5" s="25" t="s">
        <v>71</v>
      </c>
      <c r="U5" s="25" t="s">
        <v>72</v>
      </c>
      <c r="V5" s="25" t="s">
        <v>73</v>
      </c>
      <c r="W5" s="25" t="s">
        <v>74</v>
      </c>
      <c r="X5" s="25" t="s">
        <v>75</v>
      </c>
      <c r="Y5" s="25" t="s">
        <v>76</v>
      </c>
      <c r="Z5" s="17"/>
      <c r="AA5" s="26" t="s">
        <v>70</v>
      </c>
      <c r="AB5" s="26" t="s">
        <v>71</v>
      </c>
      <c r="AC5" s="26" t="s">
        <v>72</v>
      </c>
      <c r="AD5" s="26" t="s">
        <v>77</v>
      </c>
      <c r="AE5" s="26" t="s">
        <v>78</v>
      </c>
      <c r="AF5" s="26" t="s">
        <v>79</v>
      </c>
      <c r="AG5" s="26" t="s">
        <v>80</v>
      </c>
      <c r="AH5" s="17"/>
      <c r="AI5" s="17"/>
      <c r="AJ5" s="27" t="s">
        <v>81</v>
      </c>
      <c r="AK5" s="27" t="s">
        <v>82</v>
      </c>
      <c r="AL5" s="27" t="s">
        <v>83</v>
      </c>
      <c r="AM5" s="27" t="s">
        <v>84</v>
      </c>
      <c r="AN5" s="27" t="s">
        <v>85</v>
      </c>
      <c r="AO5" s="27" t="s">
        <v>86</v>
      </c>
      <c r="AP5" s="27" t="s">
        <v>87</v>
      </c>
      <c r="AQ5" s="17"/>
      <c r="AR5" s="28" t="s">
        <v>88</v>
      </c>
      <c r="AS5" s="17"/>
      <c r="AT5" s="15"/>
      <c r="AU5" s="15"/>
      <c r="AV5" s="15"/>
    </row>
    <row r="6" customFormat="false" ht="42.75" hidden="false" customHeight="true" outlineLevel="0" collapsed="false">
      <c r="A6" s="29" t="s">
        <v>89</v>
      </c>
      <c r="B6" s="29" t="s">
        <v>90</v>
      </c>
      <c r="C6" s="29" t="s">
        <v>91</v>
      </c>
      <c r="D6" s="29" t="s">
        <v>92</v>
      </c>
      <c r="E6" s="29" t="s">
        <v>93</v>
      </c>
      <c r="F6" s="29" t="s">
        <v>94</v>
      </c>
      <c r="G6" s="29" t="s">
        <v>95</v>
      </c>
      <c r="H6" s="29" t="s">
        <v>96</v>
      </c>
      <c r="I6" s="29" t="s">
        <v>97</v>
      </c>
      <c r="J6" s="29" t="s">
        <v>98</v>
      </c>
      <c r="K6" s="29" t="s">
        <v>99</v>
      </c>
      <c r="L6" s="29" t="s">
        <v>100</v>
      </c>
      <c r="M6" s="29" t="s">
        <v>101</v>
      </c>
      <c r="N6" s="29" t="s">
        <v>102</v>
      </c>
      <c r="O6" s="29" t="s">
        <v>103</v>
      </c>
      <c r="P6" s="29" t="s">
        <v>104</v>
      </c>
      <c r="Q6" s="30" t="s">
        <v>105</v>
      </c>
      <c r="R6" s="30" t="s">
        <v>106</v>
      </c>
      <c r="S6" s="30" t="s">
        <v>107</v>
      </c>
      <c r="T6" s="30" t="s">
        <v>108</v>
      </c>
      <c r="U6" s="30" t="s">
        <v>109</v>
      </c>
      <c r="V6" s="30" t="s">
        <v>110</v>
      </c>
      <c r="W6" s="30" t="s">
        <v>111</v>
      </c>
      <c r="X6" s="30" t="s">
        <v>112</v>
      </c>
      <c r="Y6" s="30" t="s">
        <v>113</v>
      </c>
      <c r="Z6" s="17" t="s">
        <v>114</v>
      </c>
      <c r="AA6" s="31" t="s">
        <v>107</v>
      </c>
      <c r="AB6" s="31" t="s">
        <v>108</v>
      </c>
      <c r="AC6" s="31" t="s">
        <v>109</v>
      </c>
      <c r="AD6" s="31" t="s">
        <v>115</v>
      </c>
      <c r="AE6" s="31" t="s">
        <v>116</v>
      </c>
      <c r="AF6" s="31" t="s">
        <v>117</v>
      </c>
      <c r="AG6" s="31" t="s">
        <v>118</v>
      </c>
      <c r="AH6" s="17" t="s">
        <v>119</v>
      </c>
      <c r="AI6" s="17" t="s">
        <v>120</v>
      </c>
      <c r="AJ6" s="32" t="s">
        <v>121</v>
      </c>
      <c r="AK6" s="32" t="s">
        <v>122</v>
      </c>
      <c r="AL6" s="32" t="s">
        <v>123</v>
      </c>
      <c r="AM6" s="32" t="s">
        <v>124</v>
      </c>
      <c r="AN6" s="32" t="s">
        <v>125</v>
      </c>
      <c r="AO6" s="32" t="s">
        <v>126</v>
      </c>
      <c r="AP6" s="32" t="s">
        <v>127</v>
      </c>
      <c r="AQ6" s="17" t="s">
        <v>128</v>
      </c>
      <c r="AR6" s="33" t="s">
        <v>129</v>
      </c>
      <c r="AS6" s="17" t="s">
        <v>130</v>
      </c>
      <c r="AT6" s="29" t="s">
        <v>131</v>
      </c>
      <c r="AU6" s="29" t="s">
        <v>132</v>
      </c>
      <c r="AV6" s="29" t="s">
        <v>133</v>
      </c>
    </row>
    <row r="7" customFormat="false" ht="15" hidden="false" customHeight="true" outlineLevel="0" collapsed="false">
      <c r="A7" s="34" t="s">
        <v>134</v>
      </c>
      <c r="B7" s="34" t="s">
        <v>135</v>
      </c>
      <c r="C7" s="35" t="s">
        <v>136</v>
      </c>
      <c r="D7" s="36" t="n">
        <v>45673.364212963</v>
      </c>
      <c r="E7" s="35" t="s">
        <v>137</v>
      </c>
      <c r="F7" s="35" t="s">
        <v>138</v>
      </c>
      <c r="G7" s="35" t="s">
        <v>5</v>
      </c>
      <c r="H7" s="35" t="s">
        <v>3</v>
      </c>
      <c r="I7" s="34" t="s">
        <v>139</v>
      </c>
      <c r="J7" s="34"/>
      <c r="K7" s="34" t="s">
        <v>140</v>
      </c>
      <c r="L7" s="34" t="s">
        <v>141</v>
      </c>
      <c r="M7" s="36" t="n">
        <v>45672</v>
      </c>
      <c r="N7" s="36" t="n">
        <v>45658</v>
      </c>
      <c r="O7" s="36" t="n">
        <v>45672</v>
      </c>
      <c r="P7" s="34" t="n">
        <v>15</v>
      </c>
      <c r="Q7" s="37" t="n">
        <v>12207.39</v>
      </c>
      <c r="R7" s="37" t="n">
        <v>0</v>
      </c>
      <c r="S7" s="37" t="n">
        <v>0</v>
      </c>
      <c r="T7" s="37" t="n">
        <v>0</v>
      </c>
      <c r="U7" s="37" t="n">
        <v>0</v>
      </c>
      <c r="V7" s="37" t="n">
        <v>1220.74</v>
      </c>
      <c r="W7" s="37" t="n">
        <v>0</v>
      </c>
      <c r="X7" s="37" t="n">
        <v>0</v>
      </c>
      <c r="Y7" s="37" t="n">
        <v>0</v>
      </c>
      <c r="Z7" s="37" t="n">
        <f aca="false">SUM(Q7:Y7)</f>
        <v>13428.13</v>
      </c>
      <c r="AA7" s="37" t="n">
        <v>0</v>
      </c>
      <c r="AB7" s="37" t="n">
        <v>0</v>
      </c>
      <c r="AC7" s="37" t="n">
        <v>0</v>
      </c>
      <c r="AD7" s="37" t="n">
        <v>0</v>
      </c>
      <c r="AE7" s="37" t="n">
        <v>0</v>
      </c>
      <c r="AF7" s="37" t="n">
        <v>0</v>
      </c>
      <c r="AG7" s="37" t="n">
        <v>400</v>
      </c>
      <c r="AH7" s="37" t="n">
        <f aca="false">SUM(AA7:AG7)</f>
        <v>400</v>
      </c>
      <c r="AI7" s="37" t="n">
        <f aca="false">Z7+AH7</f>
        <v>13828.13</v>
      </c>
      <c r="AJ7" s="37" t="n">
        <v>2045.22</v>
      </c>
      <c r="AK7" s="37" t="n">
        <v>190.26</v>
      </c>
      <c r="AL7" s="37" t="n">
        <v>1658.38</v>
      </c>
      <c r="AM7" s="37" t="n">
        <v>488.3</v>
      </c>
      <c r="AN7" s="37" t="n">
        <v>84</v>
      </c>
      <c r="AO7" s="37" t="n">
        <v>143.05</v>
      </c>
      <c r="AP7" s="37" t="n">
        <v>244.8</v>
      </c>
      <c r="AQ7" s="37" t="n">
        <f aca="false">SUM(AJ7:AP7)</f>
        <v>4854.01</v>
      </c>
      <c r="AR7" s="37" t="n">
        <v>0</v>
      </c>
      <c r="AS7" s="37" t="n">
        <f aca="false">SUM(AR7:AR7)</f>
        <v>0</v>
      </c>
      <c r="AT7" s="37" t="n">
        <f aca="false">AI7-AQ7+AS7</f>
        <v>8974.12</v>
      </c>
      <c r="AU7" s="37" t="n">
        <v>8974.12</v>
      </c>
      <c r="AV7" s="37" t="n">
        <f aca="false">AU7-AT7</f>
        <v>0</v>
      </c>
    </row>
    <row r="8" customFormat="false" ht="15" hidden="false" customHeight="true" outlineLevel="0" collapsed="false">
      <c r="A8" s="34" t="s">
        <v>134</v>
      </c>
      <c r="B8" s="34" t="s">
        <v>135</v>
      </c>
      <c r="C8" s="35" t="s">
        <v>142</v>
      </c>
      <c r="D8" s="36" t="n">
        <v>45681.4395138889</v>
      </c>
      <c r="E8" s="35" t="s">
        <v>137</v>
      </c>
      <c r="F8" s="35" t="s">
        <v>138</v>
      </c>
      <c r="G8" s="35" t="s">
        <v>5</v>
      </c>
      <c r="H8" s="35" t="s">
        <v>3</v>
      </c>
      <c r="I8" s="34" t="s">
        <v>143</v>
      </c>
      <c r="J8" s="34"/>
      <c r="K8" s="34" t="s">
        <v>140</v>
      </c>
      <c r="L8" s="34" t="s">
        <v>141</v>
      </c>
      <c r="M8" s="36" t="n">
        <v>45677</v>
      </c>
      <c r="N8" s="36" t="n">
        <v>45677</v>
      </c>
      <c r="O8" s="36" t="n">
        <v>45677</v>
      </c>
      <c r="P8" s="34" t="n">
        <v>1</v>
      </c>
      <c r="Q8" s="37" t="n">
        <v>0</v>
      </c>
      <c r="R8" s="37" t="n">
        <v>0</v>
      </c>
      <c r="S8" s="37" t="n">
        <v>0</v>
      </c>
      <c r="T8" s="37" t="n">
        <v>0</v>
      </c>
      <c r="U8" s="37" t="n">
        <v>0</v>
      </c>
      <c r="V8" s="37" t="n">
        <v>0</v>
      </c>
      <c r="W8" s="37" t="n">
        <v>0</v>
      </c>
      <c r="X8" s="37" t="n">
        <v>0</v>
      </c>
      <c r="Y8" s="37" t="n">
        <v>545.99</v>
      </c>
      <c r="Z8" s="37" t="n">
        <f aca="false">SUM(Q8:Y8)</f>
        <v>545.99</v>
      </c>
      <c r="AA8" s="37" t="n">
        <v>0</v>
      </c>
      <c r="AB8" s="37" t="n">
        <v>0</v>
      </c>
      <c r="AC8" s="37" t="n">
        <v>0</v>
      </c>
      <c r="AD8" s="37" t="n">
        <v>0</v>
      </c>
      <c r="AE8" s="37" t="n">
        <v>5859.6</v>
      </c>
      <c r="AF8" s="37" t="n">
        <v>5859.6</v>
      </c>
      <c r="AG8" s="37" t="n">
        <v>0</v>
      </c>
      <c r="AH8" s="37" t="n">
        <f aca="false">SUM(AA8:AG8)</f>
        <v>11719.2</v>
      </c>
      <c r="AI8" s="37" t="n">
        <f aca="false">Z8+AH8</f>
        <v>12265.19</v>
      </c>
      <c r="AJ8" s="37" t="n">
        <v>0</v>
      </c>
      <c r="AK8" s="37" t="n">
        <v>0</v>
      </c>
      <c r="AL8" s="37" t="n">
        <v>0</v>
      </c>
      <c r="AM8" s="37" t="n">
        <v>0</v>
      </c>
      <c r="AN8" s="37" t="n">
        <v>0</v>
      </c>
      <c r="AO8" s="37" t="n">
        <v>0</v>
      </c>
      <c r="AP8" s="37" t="n">
        <v>0</v>
      </c>
      <c r="AQ8" s="37" t="n">
        <f aca="false">SUM(AJ8:AP8)</f>
        <v>0</v>
      </c>
      <c r="AR8" s="37" t="n">
        <v>0</v>
      </c>
      <c r="AS8" s="37" t="n">
        <f aca="false">SUM(AR8:AR8)</f>
        <v>0</v>
      </c>
      <c r="AT8" s="37" t="n">
        <f aca="false">AI8-AQ8+AS8</f>
        <v>12265.19</v>
      </c>
      <c r="AU8" s="37" t="n">
        <v>12265.19</v>
      </c>
      <c r="AV8" s="37" t="n">
        <f aca="false">AU8-AT8</f>
        <v>0</v>
      </c>
    </row>
    <row r="9" customFormat="false" ht="15" hidden="false" customHeight="true" outlineLevel="0" collapsed="false">
      <c r="A9" s="34" t="s">
        <v>134</v>
      </c>
      <c r="B9" s="34" t="s">
        <v>135</v>
      </c>
      <c r="C9" s="35" t="s">
        <v>144</v>
      </c>
      <c r="D9" s="36" t="n">
        <v>45688.4399652778</v>
      </c>
      <c r="E9" s="35" t="s">
        <v>137</v>
      </c>
      <c r="F9" s="35" t="s">
        <v>138</v>
      </c>
      <c r="G9" s="35" t="s">
        <v>5</v>
      </c>
      <c r="H9" s="35" t="s">
        <v>3</v>
      </c>
      <c r="I9" s="34" t="s">
        <v>139</v>
      </c>
      <c r="J9" s="34"/>
      <c r="K9" s="34" t="s">
        <v>140</v>
      </c>
      <c r="L9" s="34" t="s">
        <v>141</v>
      </c>
      <c r="M9" s="36" t="n">
        <v>45688</v>
      </c>
      <c r="N9" s="36" t="n">
        <v>45673</v>
      </c>
      <c r="O9" s="36" t="n">
        <v>45688</v>
      </c>
      <c r="P9" s="34" t="n">
        <v>16</v>
      </c>
      <c r="Q9" s="37" t="n">
        <v>12207.39</v>
      </c>
      <c r="R9" s="37" t="n">
        <v>0</v>
      </c>
      <c r="S9" s="37" t="n">
        <v>1581.81</v>
      </c>
      <c r="T9" s="37" t="n">
        <v>0</v>
      </c>
      <c r="U9" s="37" t="n">
        <v>0</v>
      </c>
      <c r="V9" s="37" t="n">
        <v>1220.74</v>
      </c>
      <c r="W9" s="37" t="n">
        <v>0</v>
      </c>
      <c r="X9" s="37" t="n">
        <v>0</v>
      </c>
      <c r="Y9" s="37" t="n">
        <v>0</v>
      </c>
      <c r="Z9" s="37" t="n">
        <f aca="false">SUM(Q9:Y9)</f>
        <v>15009.94</v>
      </c>
      <c r="AA9" s="37" t="n">
        <v>1628.55</v>
      </c>
      <c r="AB9" s="37" t="n">
        <v>0</v>
      </c>
      <c r="AC9" s="37" t="n">
        <v>0</v>
      </c>
      <c r="AD9" s="37" t="n">
        <v>0</v>
      </c>
      <c r="AE9" s="37" t="n">
        <v>0</v>
      </c>
      <c r="AF9" s="37" t="n">
        <v>0</v>
      </c>
      <c r="AG9" s="37" t="n">
        <v>400</v>
      </c>
      <c r="AH9" s="37" t="n">
        <f aca="false">SUM(AA9:AG9)</f>
        <v>2028.55</v>
      </c>
      <c r="AI9" s="37" t="n">
        <f aca="false">Z9+AH9</f>
        <v>17038.49</v>
      </c>
      <c r="AJ9" s="37" t="n">
        <v>2045.22</v>
      </c>
      <c r="AK9" s="37" t="n">
        <v>202.95</v>
      </c>
      <c r="AL9" s="37" t="n">
        <v>1768.69</v>
      </c>
      <c r="AM9" s="37" t="n">
        <v>488.3</v>
      </c>
      <c r="AN9" s="37" t="n">
        <v>126</v>
      </c>
      <c r="AO9" s="37" t="n">
        <v>152.58</v>
      </c>
      <c r="AP9" s="37" t="n">
        <v>244.8</v>
      </c>
      <c r="AQ9" s="37" t="n">
        <f aca="false">SUM(AJ9:AP9)</f>
        <v>5028.54</v>
      </c>
      <c r="AR9" s="37" t="n">
        <v>0</v>
      </c>
      <c r="AS9" s="37" t="n">
        <f aca="false">SUM(AR9:AR9)</f>
        <v>0</v>
      </c>
      <c r="AT9" s="37" t="n">
        <f aca="false">AI9-AQ9+AS9</f>
        <v>12009.95</v>
      </c>
      <c r="AU9" s="37" t="n">
        <v>12009.95</v>
      </c>
      <c r="AV9" s="37" t="n">
        <f aca="false">AU9-AT9</f>
        <v>0</v>
      </c>
    </row>
    <row r="10" customFormat="false" ht="15" hidden="false" customHeight="true" outlineLevel="0" collapsed="false">
      <c r="A10" s="34" t="s">
        <v>134</v>
      </c>
      <c r="B10" s="34" t="s">
        <v>135</v>
      </c>
      <c r="C10" s="35" t="s">
        <v>145</v>
      </c>
      <c r="D10" s="36" t="n">
        <v>45702.7449768519</v>
      </c>
      <c r="E10" s="35" t="s">
        <v>137</v>
      </c>
      <c r="F10" s="35" t="s">
        <v>138</v>
      </c>
      <c r="G10" s="35" t="s">
        <v>5</v>
      </c>
      <c r="H10" s="35" t="s">
        <v>3</v>
      </c>
      <c r="I10" s="34" t="s">
        <v>139</v>
      </c>
      <c r="J10" s="34"/>
      <c r="K10" s="34" t="s">
        <v>140</v>
      </c>
      <c r="L10" s="34" t="s">
        <v>141</v>
      </c>
      <c r="M10" s="36" t="n">
        <v>45703</v>
      </c>
      <c r="N10" s="36" t="n">
        <v>45689</v>
      </c>
      <c r="O10" s="36" t="n">
        <v>45703</v>
      </c>
      <c r="P10" s="34" t="n">
        <v>15</v>
      </c>
      <c r="Q10" s="37" t="n">
        <v>12207.39</v>
      </c>
      <c r="R10" s="37" t="n">
        <v>0</v>
      </c>
      <c r="S10" s="37" t="n">
        <v>0</v>
      </c>
      <c r="T10" s="37" t="n">
        <v>488.8</v>
      </c>
      <c r="U10" s="37" t="n">
        <v>0</v>
      </c>
      <c r="V10" s="37" t="n">
        <v>1220.74</v>
      </c>
      <c r="W10" s="37" t="n">
        <v>0</v>
      </c>
      <c r="X10" s="37" t="n">
        <v>0</v>
      </c>
      <c r="Y10" s="37" t="n">
        <v>0</v>
      </c>
      <c r="Z10" s="37" t="n">
        <f aca="false">SUM(Q10:Y10)</f>
        <v>13916.93</v>
      </c>
      <c r="AA10" s="37" t="n">
        <v>0</v>
      </c>
      <c r="AB10" s="37" t="n">
        <v>113.14</v>
      </c>
      <c r="AC10" s="37" t="n">
        <v>0</v>
      </c>
      <c r="AD10" s="37" t="n">
        <v>0</v>
      </c>
      <c r="AE10" s="37" t="n">
        <v>0</v>
      </c>
      <c r="AF10" s="37" t="n">
        <v>0</v>
      </c>
      <c r="AG10" s="37" t="n">
        <v>400</v>
      </c>
      <c r="AH10" s="37" t="n">
        <f aca="false">SUM(AA10:AG10)</f>
        <v>513.14</v>
      </c>
      <c r="AI10" s="37" t="n">
        <f aca="false">Z10+AH10</f>
        <v>14430.07</v>
      </c>
      <c r="AJ10" s="37" t="n">
        <v>2114.24</v>
      </c>
      <c r="AK10" s="37" t="n">
        <v>189.44</v>
      </c>
      <c r="AL10" s="37" t="n">
        <v>1658.38</v>
      </c>
      <c r="AM10" s="37" t="n">
        <v>488.3</v>
      </c>
      <c r="AN10" s="37" t="n">
        <v>147</v>
      </c>
      <c r="AO10" s="37" t="n">
        <v>143.05</v>
      </c>
      <c r="AP10" s="37" t="n">
        <v>0</v>
      </c>
      <c r="AQ10" s="37" t="n">
        <f aca="false">SUM(AJ10:AP10)</f>
        <v>4740.41</v>
      </c>
      <c r="AR10" s="37" t="n">
        <v>0</v>
      </c>
      <c r="AS10" s="37" t="n">
        <f aca="false">SUM(AR10:AR10)</f>
        <v>0</v>
      </c>
      <c r="AT10" s="37" t="n">
        <f aca="false">AI10-AQ10+AS10</f>
        <v>9689.66</v>
      </c>
      <c r="AU10" s="37" t="n">
        <v>9689.66</v>
      </c>
      <c r="AV10" s="37" t="n">
        <f aca="false">AU10-AT10</f>
        <v>0</v>
      </c>
    </row>
    <row r="11" customFormat="false" ht="15" hidden="false" customHeight="true" outlineLevel="0" collapsed="false">
      <c r="A11" s="34" t="s">
        <v>134</v>
      </c>
      <c r="B11" s="34" t="s">
        <v>135</v>
      </c>
      <c r="C11" s="35" t="s">
        <v>146</v>
      </c>
      <c r="D11" s="36" t="n">
        <v>45716.7040856482</v>
      </c>
      <c r="E11" s="35" t="s">
        <v>137</v>
      </c>
      <c r="F11" s="35" t="s">
        <v>138</v>
      </c>
      <c r="G11" s="35" t="s">
        <v>5</v>
      </c>
      <c r="H11" s="35" t="s">
        <v>3</v>
      </c>
      <c r="I11" s="34" t="s">
        <v>139</v>
      </c>
      <c r="J11" s="34"/>
      <c r="K11" s="34" t="s">
        <v>140</v>
      </c>
      <c r="L11" s="34" t="s">
        <v>141</v>
      </c>
      <c r="M11" s="36" t="n">
        <v>45716</v>
      </c>
      <c r="N11" s="36" t="n">
        <v>45704</v>
      </c>
      <c r="O11" s="36" t="n">
        <v>45716</v>
      </c>
      <c r="P11" s="34" t="n">
        <v>13</v>
      </c>
      <c r="Q11" s="37" t="n">
        <v>12207.39</v>
      </c>
      <c r="R11" s="37" t="n">
        <v>0</v>
      </c>
      <c r="S11" s="37" t="n">
        <v>0</v>
      </c>
      <c r="T11" s="37" t="n">
        <v>87.51</v>
      </c>
      <c r="U11" s="37" t="n">
        <v>0</v>
      </c>
      <c r="V11" s="37" t="n">
        <v>1220.74</v>
      </c>
      <c r="W11" s="37" t="n">
        <v>0</v>
      </c>
      <c r="X11" s="37" t="n">
        <v>0</v>
      </c>
      <c r="Y11" s="37" t="n">
        <v>0</v>
      </c>
      <c r="Z11" s="37" t="n">
        <f aca="false">SUM(Q11:Y11)</f>
        <v>13515.64</v>
      </c>
      <c r="AA11" s="37" t="n">
        <v>0</v>
      </c>
      <c r="AB11" s="37" t="n">
        <v>113.14</v>
      </c>
      <c r="AC11" s="37" t="n">
        <v>0</v>
      </c>
      <c r="AD11" s="37" t="n">
        <v>0</v>
      </c>
      <c r="AE11" s="37" t="n">
        <v>0</v>
      </c>
      <c r="AF11" s="37" t="n">
        <v>0</v>
      </c>
      <c r="AG11" s="37" t="n">
        <v>400</v>
      </c>
      <c r="AH11" s="37" t="n">
        <f aca="false">SUM(AA11:AG11)</f>
        <v>513.14</v>
      </c>
      <c r="AI11" s="37" t="n">
        <f aca="false">Z11+AH11</f>
        <v>14028.78</v>
      </c>
      <c r="AJ11" s="37" t="n">
        <v>2045.22</v>
      </c>
      <c r="AK11" s="37" t="n">
        <v>164.17</v>
      </c>
      <c r="AL11" s="37" t="n">
        <v>1437.76</v>
      </c>
      <c r="AM11" s="37" t="n">
        <v>488.3</v>
      </c>
      <c r="AN11" s="37" t="n">
        <v>147</v>
      </c>
      <c r="AO11" s="37" t="n">
        <v>123.97</v>
      </c>
      <c r="AP11" s="37" t="n">
        <v>0</v>
      </c>
      <c r="AQ11" s="37" t="n">
        <f aca="false">SUM(AJ11:AP11)</f>
        <v>4406.42</v>
      </c>
      <c r="AR11" s="37" t="n">
        <v>0</v>
      </c>
      <c r="AS11" s="37" t="n">
        <f aca="false">SUM(AR11:AR11)</f>
        <v>0</v>
      </c>
      <c r="AT11" s="37" t="n">
        <f aca="false">AI11-AQ11+AS11</f>
        <v>9622.36</v>
      </c>
      <c r="AU11" s="37" t="n">
        <v>9622.36</v>
      </c>
      <c r="AV11" s="37" t="n">
        <f aca="false">AU11-AT11</f>
        <v>0</v>
      </c>
    </row>
    <row r="12" customFormat="false" ht="15" hidden="false" customHeight="true" outlineLevel="0" collapsed="false">
      <c r="A12" s="34" t="s">
        <v>134</v>
      </c>
      <c r="B12" s="34" t="s">
        <v>135</v>
      </c>
      <c r="C12" s="35" t="s">
        <v>147</v>
      </c>
      <c r="D12" s="36" t="n">
        <v>45730.7323611111</v>
      </c>
      <c r="E12" s="35" t="s">
        <v>137</v>
      </c>
      <c r="F12" s="35" t="s">
        <v>138</v>
      </c>
      <c r="G12" s="35" t="s">
        <v>5</v>
      </c>
      <c r="H12" s="35" t="s">
        <v>3</v>
      </c>
      <c r="I12" s="34" t="s">
        <v>139</v>
      </c>
      <c r="J12" s="34"/>
      <c r="K12" s="34" t="s">
        <v>140</v>
      </c>
      <c r="L12" s="34" t="s">
        <v>141</v>
      </c>
      <c r="M12" s="36" t="n">
        <v>45731</v>
      </c>
      <c r="N12" s="36" t="n">
        <v>45717</v>
      </c>
      <c r="O12" s="36" t="n">
        <v>45731</v>
      </c>
      <c r="P12" s="34" t="n">
        <v>15</v>
      </c>
      <c r="Q12" s="37" t="n">
        <v>12207.39</v>
      </c>
      <c r="R12" s="37" t="n">
        <v>0</v>
      </c>
      <c r="S12" s="37" t="n">
        <v>0</v>
      </c>
      <c r="T12" s="37" t="n">
        <v>87.51</v>
      </c>
      <c r="U12" s="37" t="n">
        <v>0</v>
      </c>
      <c r="V12" s="37" t="n">
        <v>1220.74</v>
      </c>
      <c r="W12" s="37" t="n">
        <v>0</v>
      </c>
      <c r="X12" s="37" t="n">
        <v>0</v>
      </c>
      <c r="Y12" s="37" t="n">
        <v>0</v>
      </c>
      <c r="Z12" s="37" t="n">
        <f aca="false">SUM(Q12:Y12)</f>
        <v>13515.64</v>
      </c>
      <c r="AA12" s="37" t="n">
        <v>0</v>
      </c>
      <c r="AB12" s="37" t="n">
        <v>113.14</v>
      </c>
      <c r="AC12" s="37" t="n">
        <v>0</v>
      </c>
      <c r="AD12" s="37" t="n">
        <v>0</v>
      </c>
      <c r="AE12" s="37" t="n">
        <v>0</v>
      </c>
      <c r="AF12" s="37" t="n">
        <v>0</v>
      </c>
      <c r="AG12" s="37" t="n">
        <v>400</v>
      </c>
      <c r="AH12" s="37" t="n">
        <f aca="false">SUM(AA12:AG12)</f>
        <v>513.14</v>
      </c>
      <c r="AI12" s="37" t="n">
        <f aca="false">Z12+AH12</f>
        <v>14028.78</v>
      </c>
      <c r="AJ12" s="37" t="n">
        <v>2045.22</v>
      </c>
      <c r="AK12" s="37" t="n">
        <v>192.25</v>
      </c>
      <c r="AL12" s="37" t="n">
        <v>1604.13</v>
      </c>
      <c r="AM12" s="37" t="n">
        <v>488.3</v>
      </c>
      <c r="AN12" s="37" t="n">
        <v>147</v>
      </c>
      <c r="AO12" s="37" t="n">
        <v>144.96</v>
      </c>
      <c r="AP12" s="37" t="n">
        <v>0</v>
      </c>
      <c r="AQ12" s="37" t="n">
        <f aca="false">SUM(AJ12:AP12)</f>
        <v>4621.86</v>
      </c>
      <c r="AR12" s="37" t="n">
        <v>0</v>
      </c>
      <c r="AS12" s="37" t="n">
        <f aca="false">SUM(AR12:AR12)</f>
        <v>0</v>
      </c>
      <c r="AT12" s="37" t="n">
        <f aca="false">AI12-AQ12+AS12</f>
        <v>9406.92</v>
      </c>
      <c r="AU12" s="37" t="n">
        <v>9406.92</v>
      </c>
      <c r="AV12" s="37" t="n">
        <f aca="false">AU12-AT12</f>
        <v>0</v>
      </c>
    </row>
    <row r="13" customFormat="false" ht="15" hidden="false" customHeight="true" outlineLevel="0" collapsed="false">
      <c r="A13" s="34" t="s">
        <v>134</v>
      </c>
      <c r="B13" s="34" t="s">
        <v>135</v>
      </c>
      <c r="C13" s="35" t="s">
        <v>148</v>
      </c>
      <c r="D13" s="36" t="n">
        <v>45747.7739236111</v>
      </c>
      <c r="E13" s="35" t="s">
        <v>137</v>
      </c>
      <c r="F13" s="35" t="s">
        <v>138</v>
      </c>
      <c r="G13" s="35" t="s">
        <v>5</v>
      </c>
      <c r="H13" s="35" t="s">
        <v>3</v>
      </c>
      <c r="I13" s="34" t="s">
        <v>139</v>
      </c>
      <c r="J13" s="34"/>
      <c r="K13" s="34" t="s">
        <v>140</v>
      </c>
      <c r="L13" s="34" t="s">
        <v>141</v>
      </c>
      <c r="M13" s="36" t="n">
        <v>45747</v>
      </c>
      <c r="N13" s="36" t="n">
        <v>45732</v>
      </c>
      <c r="O13" s="36" t="n">
        <v>45747</v>
      </c>
      <c r="P13" s="34" t="n">
        <v>16</v>
      </c>
      <c r="Q13" s="37" t="n">
        <v>12207.39</v>
      </c>
      <c r="R13" s="37" t="n">
        <v>0</v>
      </c>
      <c r="S13" s="37" t="n">
        <v>0</v>
      </c>
      <c r="T13" s="37" t="n">
        <v>288.16</v>
      </c>
      <c r="U13" s="37" t="n">
        <v>0</v>
      </c>
      <c r="V13" s="37" t="n">
        <v>1220.74</v>
      </c>
      <c r="W13" s="37" t="n">
        <v>0</v>
      </c>
      <c r="X13" s="37" t="n">
        <v>3210.36</v>
      </c>
      <c r="Y13" s="37" t="n">
        <v>0</v>
      </c>
      <c r="Z13" s="37" t="n">
        <f aca="false">SUM(Q13:Y13)</f>
        <v>16926.65</v>
      </c>
      <c r="AA13" s="37" t="n">
        <v>0</v>
      </c>
      <c r="AB13" s="37" t="n">
        <v>113.14</v>
      </c>
      <c r="AC13" s="37" t="n">
        <v>0</v>
      </c>
      <c r="AD13" s="37" t="n">
        <v>0</v>
      </c>
      <c r="AE13" s="37" t="n">
        <v>0</v>
      </c>
      <c r="AF13" s="37" t="n">
        <v>0</v>
      </c>
      <c r="AG13" s="37" t="n">
        <v>400</v>
      </c>
      <c r="AH13" s="37" t="n">
        <f aca="false">SUM(AA13:AG13)</f>
        <v>513.14</v>
      </c>
      <c r="AI13" s="37" t="n">
        <f aca="false">Z13+AH13</f>
        <v>17439.79</v>
      </c>
      <c r="AJ13" s="37" t="n">
        <v>2786.24</v>
      </c>
      <c r="AK13" s="37" t="n">
        <v>205.07</v>
      </c>
      <c r="AL13" s="37" t="n">
        <v>1710.82</v>
      </c>
      <c r="AM13" s="37" t="n">
        <v>488.3</v>
      </c>
      <c r="AN13" s="37" t="n">
        <v>189</v>
      </c>
      <c r="AO13" s="37" t="n">
        <v>154.63</v>
      </c>
      <c r="AP13" s="37" t="n">
        <v>0</v>
      </c>
      <c r="AQ13" s="37" t="n">
        <f aca="false">SUM(AJ13:AP13)</f>
        <v>5534.06</v>
      </c>
      <c r="AR13" s="37" t="n">
        <v>0</v>
      </c>
      <c r="AS13" s="37" t="n">
        <f aca="false">SUM(AR13:AR13)</f>
        <v>0</v>
      </c>
      <c r="AT13" s="37" t="n">
        <f aca="false">AI13-AQ13+AS13</f>
        <v>11905.73</v>
      </c>
      <c r="AU13" s="37" t="n">
        <v>11905.73</v>
      </c>
      <c r="AV13" s="37" t="n">
        <f aca="false">AU13-AT13</f>
        <v>0</v>
      </c>
    </row>
    <row r="14" customFormat="false" ht="15" hidden="false" customHeight="true" outlineLevel="0" collapsed="false">
      <c r="A14" s="34" t="s">
        <v>134</v>
      </c>
      <c r="B14" s="34" t="s">
        <v>135</v>
      </c>
      <c r="C14" s="35" t="s">
        <v>149</v>
      </c>
      <c r="D14" s="36" t="n">
        <v>45762.7308101852</v>
      </c>
      <c r="E14" s="35" t="s">
        <v>137</v>
      </c>
      <c r="F14" s="35" t="s">
        <v>138</v>
      </c>
      <c r="G14" s="35" t="s">
        <v>5</v>
      </c>
      <c r="H14" s="35" t="s">
        <v>3</v>
      </c>
      <c r="I14" s="34" t="s">
        <v>139</v>
      </c>
      <c r="J14" s="34"/>
      <c r="K14" s="34" t="s">
        <v>140</v>
      </c>
      <c r="L14" s="34" t="s">
        <v>141</v>
      </c>
      <c r="M14" s="36" t="n">
        <v>45762</v>
      </c>
      <c r="N14" s="36" t="n">
        <v>45748</v>
      </c>
      <c r="O14" s="36" t="n">
        <v>45762</v>
      </c>
      <c r="P14" s="34" t="n">
        <v>15</v>
      </c>
      <c r="Q14" s="37" t="n">
        <v>12207.39</v>
      </c>
      <c r="R14" s="37" t="n">
        <v>0</v>
      </c>
      <c r="S14" s="37" t="n">
        <v>0</v>
      </c>
      <c r="T14" s="37" t="n">
        <v>0</v>
      </c>
      <c r="U14" s="37" t="n">
        <v>0</v>
      </c>
      <c r="V14" s="37" t="n">
        <v>1220.74</v>
      </c>
      <c r="W14" s="37" t="n">
        <v>0</v>
      </c>
      <c r="X14" s="37" t="n">
        <v>0</v>
      </c>
      <c r="Y14" s="37" t="n">
        <v>0</v>
      </c>
      <c r="Z14" s="37" t="n">
        <f aca="false">SUM(Q14:Y14)</f>
        <v>13428.13</v>
      </c>
      <c r="AA14" s="37" t="n">
        <v>0</v>
      </c>
      <c r="AB14" s="37" t="n">
        <v>0</v>
      </c>
      <c r="AC14" s="37" t="n">
        <v>0</v>
      </c>
      <c r="AD14" s="37" t="n">
        <v>0</v>
      </c>
      <c r="AE14" s="37" t="n">
        <v>0</v>
      </c>
      <c r="AF14" s="37" t="n">
        <v>0</v>
      </c>
      <c r="AG14" s="37" t="n">
        <v>400</v>
      </c>
      <c r="AH14" s="37" t="n">
        <f aca="false">SUM(AA14:AG14)</f>
        <v>400</v>
      </c>
      <c r="AI14" s="37" t="n">
        <f aca="false">Z14+AH14</f>
        <v>13828.13</v>
      </c>
      <c r="AJ14" s="37" t="n">
        <v>2045.22</v>
      </c>
      <c r="AK14" s="37" t="n">
        <v>192.25</v>
      </c>
      <c r="AL14" s="37" t="n">
        <v>1604.13</v>
      </c>
      <c r="AM14" s="37" t="n">
        <v>488.3</v>
      </c>
      <c r="AN14" s="37" t="n">
        <v>105</v>
      </c>
      <c r="AO14" s="37" t="n">
        <v>144.96</v>
      </c>
      <c r="AP14" s="37" t="n">
        <v>0</v>
      </c>
      <c r="AQ14" s="37" t="n">
        <f aca="false">SUM(AJ14:AP14)</f>
        <v>4579.86</v>
      </c>
      <c r="AR14" s="37" t="n">
        <v>0</v>
      </c>
      <c r="AS14" s="37" t="n">
        <f aca="false">SUM(AR14:AR14)</f>
        <v>0</v>
      </c>
      <c r="AT14" s="37" t="n">
        <f aca="false">AI14-AQ14+AS14</f>
        <v>9248.27</v>
      </c>
      <c r="AU14" s="37" t="n">
        <v>9248.27</v>
      </c>
      <c r="AV14" s="37" t="n">
        <f aca="false">AU14-AT14</f>
        <v>0</v>
      </c>
    </row>
    <row r="15" customFormat="false" ht="15" hidden="false" customHeight="true" outlineLevel="0" collapsed="false">
      <c r="A15" s="34" t="s">
        <v>134</v>
      </c>
      <c r="B15" s="34" t="s">
        <v>135</v>
      </c>
      <c r="C15" s="35" t="s">
        <v>150</v>
      </c>
      <c r="D15" s="36" t="n">
        <v>45777.4923148148</v>
      </c>
      <c r="E15" s="35" t="s">
        <v>137</v>
      </c>
      <c r="F15" s="35" t="s">
        <v>138</v>
      </c>
      <c r="G15" s="35" t="s">
        <v>5</v>
      </c>
      <c r="H15" s="35" t="s">
        <v>3</v>
      </c>
      <c r="I15" s="34" t="s">
        <v>139</v>
      </c>
      <c r="J15" s="34"/>
      <c r="K15" s="34" t="s">
        <v>140</v>
      </c>
      <c r="L15" s="34" t="s">
        <v>141</v>
      </c>
      <c r="M15" s="36" t="n">
        <v>45777</v>
      </c>
      <c r="N15" s="36" t="n">
        <v>45763</v>
      </c>
      <c r="O15" s="36" t="n">
        <v>45777</v>
      </c>
      <c r="P15" s="34" t="n">
        <v>15</v>
      </c>
      <c r="Q15" s="37" t="n">
        <v>12207.39</v>
      </c>
      <c r="R15" s="37" t="n">
        <v>0</v>
      </c>
      <c r="S15" s="37" t="n">
        <v>0</v>
      </c>
      <c r="T15" s="37" t="n">
        <v>288.16</v>
      </c>
      <c r="U15" s="37" t="n">
        <v>0</v>
      </c>
      <c r="V15" s="37" t="n">
        <v>1220.74</v>
      </c>
      <c r="W15" s="37" t="n">
        <v>0</v>
      </c>
      <c r="X15" s="37" t="n">
        <v>0</v>
      </c>
      <c r="Y15" s="37" t="n">
        <v>0</v>
      </c>
      <c r="Z15" s="37" t="n">
        <f aca="false">SUM(Q15:Y15)</f>
        <v>13716.29</v>
      </c>
      <c r="AA15" s="37" t="n">
        <v>0</v>
      </c>
      <c r="AB15" s="37" t="n">
        <v>113.14</v>
      </c>
      <c r="AC15" s="37" t="n">
        <v>0</v>
      </c>
      <c r="AD15" s="37" t="n">
        <v>0</v>
      </c>
      <c r="AE15" s="37" t="n">
        <v>0</v>
      </c>
      <c r="AF15" s="37" t="n">
        <v>0</v>
      </c>
      <c r="AG15" s="37" t="n">
        <v>400</v>
      </c>
      <c r="AH15" s="37" t="n">
        <f aca="false">SUM(AA15:AG15)</f>
        <v>513.14</v>
      </c>
      <c r="AI15" s="37" t="n">
        <f aca="false">Z15+AH15</f>
        <v>14229.43</v>
      </c>
      <c r="AJ15" s="37" t="n">
        <v>2071.39</v>
      </c>
      <c r="AK15" s="37" t="n">
        <v>192.25</v>
      </c>
      <c r="AL15" s="37" t="n">
        <v>1604.13</v>
      </c>
      <c r="AM15" s="37" t="n">
        <v>488.3</v>
      </c>
      <c r="AN15" s="37" t="n">
        <v>126</v>
      </c>
      <c r="AO15" s="37" t="n">
        <v>144.96</v>
      </c>
      <c r="AP15" s="37" t="n">
        <v>0</v>
      </c>
      <c r="AQ15" s="37" t="n">
        <f aca="false">SUM(AJ15:AP15)</f>
        <v>4627.03</v>
      </c>
      <c r="AR15" s="37" t="n">
        <v>0</v>
      </c>
      <c r="AS15" s="37" t="n">
        <f aca="false">SUM(AR15:AR15)</f>
        <v>0</v>
      </c>
      <c r="AT15" s="37" t="n">
        <f aca="false">AI15-AQ15+AS15</f>
        <v>9602.4</v>
      </c>
      <c r="AU15" s="37" t="n">
        <v>9602.4</v>
      </c>
      <c r="AV15" s="37" t="n">
        <f aca="false">AU15-AT15</f>
        <v>0</v>
      </c>
    </row>
    <row r="16" customFormat="false" ht="15" hidden="false" customHeight="true" outlineLevel="0" collapsed="false">
      <c r="A16" s="34" t="s">
        <v>134</v>
      </c>
      <c r="B16" s="34" t="s">
        <v>135</v>
      </c>
      <c r="C16" s="35" t="s">
        <v>151</v>
      </c>
      <c r="D16" s="36" t="n">
        <v>45792.9081712963</v>
      </c>
      <c r="E16" s="35" t="s">
        <v>137</v>
      </c>
      <c r="F16" s="35" t="s">
        <v>138</v>
      </c>
      <c r="G16" s="35" t="s">
        <v>5</v>
      </c>
      <c r="H16" s="35" t="s">
        <v>3</v>
      </c>
      <c r="I16" s="34" t="s">
        <v>139</v>
      </c>
      <c r="J16" s="34"/>
      <c r="K16" s="34" t="s">
        <v>140</v>
      </c>
      <c r="L16" s="34" t="s">
        <v>141</v>
      </c>
      <c r="M16" s="36" t="n">
        <v>45792</v>
      </c>
      <c r="N16" s="36" t="n">
        <v>45778</v>
      </c>
      <c r="O16" s="36" t="n">
        <v>45792</v>
      </c>
      <c r="P16" s="34" t="n">
        <v>15</v>
      </c>
      <c r="Q16" s="37" t="n">
        <v>12207.39</v>
      </c>
      <c r="R16" s="37" t="n">
        <v>0</v>
      </c>
      <c r="S16" s="37" t="n">
        <v>0</v>
      </c>
      <c r="T16" s="37" t="n">
        <v>288.16</v>
      </c>
      <c r="U16" s="37" t="n">
        <v>0</v>
      </c>
      <c r="V16" s="37" t="n">
        <v>1220.74</v>
      </c>
      <c r="W16" s="37" t="n">
        <v>0</v>
      </c>
      <c r="X16" s="37" t="n">
        <v>4815.54</v>
      </c>
      <c r="Y16" s="37" t="n">
        <v>0</v>
      </c>
      <c r="Z16" s="37" t="n">
        <f aca="false">SUM(Q16:Y16)</f>
        <v>18531.83</v>
      </c>
      <c r="AA16" s="37" t="n">
        <v>0</v>
      </c>
      <c r="AB16" s="37" t="n">
        <v>113.14</v>
      </c>
      <c r="AC16" s="37" t="n">
        <v>0</v>
      </c>
      <c r="AD16" s="37" t="n">
        <v>0</v>
      </c>
      <c r="AE16" s="37" t="n">
        <v>0</v>
      </c>
      <c r="AF16" s="37" t="n">
        <v>0</v>
      </c>
      <c r="AG16" s="37" t="n">
        <v>400</v>
      </c>
      <c r="AH16" s="37" t="n">
        <f aca="false">SUM(AA16:AG16)</f>
        <v>513.14</v>
      </c>
      <c r="AI16" s="37" t="n">
        <f aca="false">Z16+AH16</f>
        <v>19044.97</v>
      </c>
      <c r="AJ16" s="37" t="n">
        <v>3163.78</v>
      </c>
      <c r="AK16" s="37" t="n">
        <v>205.98</v>
      </c>
      <c r="AL16" s="37" t="n">
        <v>1604.13</v>
      </c>
      <c r="AM16" s="37" t="n">
        <v>488.3</v>
      </c>
      <c r="AN16" s="37" t="n">
        <v>147</v>
      </c>
      <c r="AO16" s="37" t="n">
        <v>154.33</v>
      </c>
      <c r="AP16" s="37" t="n">
        <v>0</v>
      </c>
      <c r="AQ16" s="37" t="n">
        <f aca="false">SUM(AJ16:AP16)</f>
        <v>5763.52</v>
      </c>
      <c r="AR16" s="37" t="n">
        <v>0</v>
      </c>
      <c r="AS16" s="37" t="n">
        <f aca="false">SUM(AR16:AR16)</f>
        <v>0</v>
      </c>
      <c r="AT16" s="37" t="n">
        <f aca="false">AI16-AQ16+AS16</f>
        <v>13281.45</v>
      </c>
      <c r="AU16" s="37" t="n">
        <v>13281.45</v>
      </c>
      <c r="AV16" s="37" t="n">
        <f aca="false">AU16-AT16</f>
        <v>0</v>
      </c>
    </row>
    <row r="17" customFormat="false" ht="15" hidden="false" customHeight="true" outlineLevel="0" collapsed="false">
      <c r="A17" s="34" t="s">
        <v>134</v>
      </c>
      <c r="B17" s="34" t="s">
        <v>135</v>
      </c>
      <c r="C17" s="35" t="s">
        <v>152</v>
      </c>
      <c r="D17" s="36" t="n">
        <v>45807.4415393519</v>
      </c>
      <c r="E17" s="35" t="s">
        <v>137</v>
      </c>
      <c r="F17" s="35" t="s">
        <v>138</v>
      </c>
      <c r="G17" s="35" t="s">
        <v>5</v>
      </c>
      <c r="H17" s="35" t="s">
        <v>3</v>
      </c>
      <c r="I17" s="34" t="s">
        <v>139</v>
      </c>
      <c r="J17" s="34"/>
      <c r="K17" s="34" t="s">
        <v>140</v>
      </c>
      <c r="L17" s="34" t="s">
        <v>141</v>
      </c>
      <c r="M17" s="36" t="n">
        <v>45808</v>
      </c>
      <c r="N17" s="36" t="n">
        <v>45793</v>
      </c>
      <c r="O17" s="36" t="n">
        <v>45808</v>
      </c>
      <c r="P17" s="34" t="n">
        <v>16</v>
      </c>
      <c r="Q17" s="37" t="n">
        <v>12207.39</v>
      </c>
      <c r="R17" s="37" t="n">
        <v>0</v>
      </c>
      <c r="S17" s="37" t="n">
        <v>0</v>
      </c>
      <c r="T17" s="37" t="n">
        <v>288.16</v>
      </c>
      <c r="U17" s="37" t="n">
        <v>0</v>
      </c>
      <c r="V17" s="37" t="n">
        <v>1220.74</v>
      </c>
      <c r="W17" s="37" t="n">
        <v>0</v>
      </c>
      <c r="X17" s="37" t="n">
        <v>3210.36</v>
      </c>
      <c r="Y17" s="37" t="n">
        <v>0</v>
      </c>
      <c r="Z17" s="37" t="n">
        <f aca="false">SUM(Q17:Y17)</f>
        <v>16926.65</v>
      </c>
      <c r="AA17" s="37" t="n">
        <v>0</v>
      </c>
      <c r="AB17" s="37" t="n">
        <v>113.14</v>
      </c>
      <c r="AC17" s="37" t="n">
        <v>0</v>
      </c>
      <c r="AD17" s="37" t="n">
        <v>0</v>
      </c>
      <c r="AE17" s="37" t="n">
        <v>0</v>
      </c>
      <c r="AF17" s="37" t="n">
        <v>0</v>
      </c>
      <c r="AG17" s="37" t="n">
        <v>400</v>
      </c>
      <c r="AH17" s="37" t="n">
        <f aca="false">SUM(AA17:AG17)</f>
        <v>513.14</v>
      </c>
      <c r="AI17" s="37" t="n">
        <f aca="false">Z17+AH17</f>
        <v>17439.79</v>
      </c>
      <c r="AJ17" s="37" t="n">
        <v>2786.24</v>
      </c>
      <c r="AK17" s="37" t="n">
        <v>219.71</v>
      </c>
      <c r="AL17" s="37" t="n">
        <v>1710.82</v>
      </c>
      <c r="AM17" s="37" t="n">
        <v>488.3</v>
      </c>
      <c r="AN17" s="37" t="n">
        <v>189</v>
      </c>
      <c r="AO17" s="37" t="n">
        <v>164.62</v>
      </c>
      <c r="AP17" s="37" t="n">
        <v>0</v>
      </c>
      <c r="AQ17" s="37" t="n">
        <f aca="false">SUM(AJ17:AP17)</f>
        <v>5558.69</v>
      </c>
      <c r="AR17" s="37" t="n">
        <v>0</v>
      </c>
      <c r="AS17" s="37" t="n">
        <f aca="false">SUM(AR17:AR17)</f>
        <v>0</v>
      </c>
      <c r="AT17" s="37" t="n">
        <f aca="false">AI17-AQ17+AS17</f>
        <v>11881.1</v>
      </c>
      <c r="AU17" s="37" t="n">
        <v>11881.1</v>
      </c>
      <c r="AV17" s="37" t="n">
        <f aca="false">AU17-AT17</f>
        <v>0</v>
      </c>
    </row>
    <row r="18" customFormat="false" ht="15" hidden="false" customHeight="true" outlineLevel="0" collapsed="false">
      <c r="A18" s="34" t="s">
        <v>134</v>
      </c>
      <c r="B18" s="34" t="s">
        <v>135</v>
      </c>
      <c r="C18" s="35" t="s">
        <v>153</v>
      </c>
      <c r="D18" s="36" t="n">
        <v>45836.4094560185</v>
      </c>
      <c r="E18" s="35" t="s">
        <v>137</v>
      </c>
      <c r="F18" s="35" t="s">
        <v>138</v>
      </c>
      <c r="G18" s="35" t="s">
        <v>5</v>
      </c>
      <c r="H18" s="35" t="s">
        <v>3</v>
      </c>
      <c r="I18" s="34" t="s">
        <v>139</v>
      </c>
      <c r="J18" s="34"/>
      <c r="K18" s="34" t="s">
        <v>140</v>
      </c>
      <c r="L18" s="34" t="s">
        <v>141</v>
      </c>
      <c r="M18" s="36" t="n">
        <v>45823</v>
      </c>
      <c r="N18" s="36" t="n">
        <v>45809</v>
      </c>
      <c r="O18" s="36" t="n">
        <v>45823</v>
      </c>
      <c r="P18" s="34" t="n">
        <v>15</v>
      </c>
      <c r="Q18" s="37" t="n">
        <v>12207.39</v>
      </c>
      <c r="R18" s="37" t="n">
        <v>0</v>
      </c>
      <c r="S18" s="37" t="n">
        <v>0</v>
      </c>
      <c r="T18" s="37" t="n">
        <v>488.8</v>
      </c>
      <c r="U18" s="37" t="n">
        <v>0</v>
      </c>
      <c r="V18" s="37" t="n">
        <v>1220.74</v>
      </c>
      <c r="W18" s="37" t="n">
        <v>1605.18</v>
      </c>
      <c r="X18" s="37" t="n">
        <v>3210.36</v>
      </c>
      <c r="Y18" s="37" t="n">
        <v>0</v>
      </c>
      <c r="Z18" s="37" t="n">
        <f aca="false">SUM(Q18:Y18)</f>
        <v>18732.47</v>
      </c>
      <c r="AA18" s="37" t="n">
        <v>0</v>
      </c>
      <c r="AB18" s="37" t="n">
        <v>113.14</v>
      </c>
      <c r="AC18" s="37" t="n">
        <v>0</v>
      </c>
      <c r="AD18" s="37" t="n">
        <v>0</v>
      </c>
      <c r="AE18" s="37" t="n">
        <v>0</v>
      </c>
      <c r="AF18" s="37" t="n">
        <v>0</v>
      </c>
      <c r="AG18" s="37" t="n">
        <v>400</v>
      </c>
      <c r="AH18" s="37" t="n">
        <f aca="false">SUM(AA18:AG18)</f>
        <v>513.14</v>
      </c>
      <c r="AI18" s="37" t="n">
        <f aca="false">Z18+AH18</f>
        <v>19245.61</v>
      </c>
      <c r="AJ18" s="37" t="n">
        <v>3210.97</v>
      </c>
      <c r="AK18" s="37" t="n">
        <v>205.98</v>
      </c>
      <c r="AL18" s="37" t="n">
        <v>1604.13</v>
      </c>
      <c r="AM18" s="37" t="n">
        <v>488.3</v>
      </c>
      <c r="AN18" s="37" t="n">
        <v>126</v>
      </c>
      <c r="AO18" s="37" t="n">
        <v>154.33</v>
      </c>
      <c r="AP18" s="37" t="n">
        <v>0</v>
      </c>
      <c r="AQ18" s="37" t="n">
        <f aca="false">SUM(AJ18:AP18)</f>
        <v>5789.71</v>
      </c>
      <c r="AR18" s="37" t="n">
        <v>0</v>
      </c>
      <c r="AS18" s="37" t="n">
        <f aca="false">SUM(AR18:AR18)</f>
        <v>0</v>
      </c>
      <c r="AT18" s="37" t="n">
        <f aca="false">AI18-AQ18+AS18</f>
        <v>13455.9</v>
      </c>
      <c r="AU18" s="37" t="n">
        <v>13455.9</v>
      </c>
      <c r="AV18" s="37" t="n">
        <f aca="false">AU18-AT18</f>
        <v>0</v>
      </c>
    </row>
    <row r="19" customFormat="false" ht="15" hidden="false" customHeight="true" outlineLevel="0" collapsed="false">
      <c r="A19" s="34" t="s">
        <v>134</v>
      </c>
      <c r="B19" s="34" t="s">
        <v>135</v>
      </c>
      <c r="C19" s="35" t="s">
        <v>154</v>
      </c>
      <c r="D19" s="36" t="n">
        <v>45838.7425578704</v>
      </c>
      <c r="E19" s="35" t="s">
        <v>137</v>
      </c>
      <c r="F19" s="35" t="s">
        <v>138</v>
      </c>
      <c r="G19" s="35" t="s">
        <v>5</v>
      </c>
      <c r="H19" s="35" t="s">
        <v>3</v>
      </c>
      <c r="I19" s="34" t="s">
        <v>139</v>
      </c>
      <c r="J19" s="34"/>
      <c r="K19" s="34" t="s">
        <v>140</v>
      </c>
      <c r="L19" s="34" t="s">
        <v>141</v>
      </c>
      <c r="M19" s="36" t="n">
        <v>45838</v>
      </c>
      <c r="N19" s="36" t="n">
        <v>45824</v>
      </c>
      <c r="O19" s="36" t="n">
        <v>45838</v>
      </c>
      <c r="P19" s="34" t="n">
        <v>15</v>
      </c>
      <c r="Q19" s="37" t="n">
        <v>12207.39</v>
      </c>
      <c r="R19" s="37" t="n">
        <v>0</v>
      </c>
      <c r="S19" s="37" t="n">
        <v>0</v>
      </c>
      <c r="T19" s="37" t="n">
        <v>288.16</v>
      </c>
      <c r="U19" s="37" t="n">
        <v>0</v>
      </c>
      <c r="V19" s="37" t="n">
        <v>1220.74</v>
      </c>
      <c r="W19" s="37" t="n">
        <v>0</v>
      </c>
      <c r="X19" s="37" t="n">
        <v>3210.36</v>
      </c>
      <c r="Y19" s="37" t="n">
        <v>0</v>
      </c>
      <c r="Z19" s="37" t="n">
        <f aca="false">SUM(Q19:Y19)</f>
        <v>16926.65</v>
      </c>
      <c r="AA19" s="37" t="n">
        <v>0</v>
      </c>
      <c r="AB19" s="37" t="n">
        <v>113.14</v>
      </c>
      <c r="AC19" s="37" t="n">
        <v>0</v>
      </c>
      <c r="AD19" s="37" t="n">
        <v>0</v>
      </c>
      <c r="AE19" s="37" t="n">
        <v>0</v>
      </c>
      <c r="AF19" s="37" t="n">
        <v>0</v>
      </c>
      <c r="AG19" s="37" t="n">
        <v>400</v>
      </c>
      <c r="AH19" s="37" t="n">
        <f aca="false">SUM(AA19:AG19)</f>
        <v>513.14</v>
      </c>
      <c r="AI19" s="37" t="n">
        <f aca="false">Z19+AH19</f>
        <v>17439.79</v>
      </c>
      <c r="AJ19" s="37" t="n">
        <v>2786.24</v>
      </c>
      <c r="AK19" s="37" t="n">
        <v>205.98</v>
      </c>
      <c r="AL19" s="37" t="n">
        <v>1604.13</v>
      </c>
      <c r="AM19" s="37" t="n">
        <v>488.3</v>
      </c>
      <c r="AN19" s="37" t="n">
        <v>168</v>
      </c>
      <c r="AO19" s="37" t="n">
        <v>154.33</v>
      </c>
      <c r="AP19" s="37" t="n">
        <v>0</v>
      </c>
      <c r="AQ19" s="37" t="n">
        <f aca="false">SUM(AJ19:AP19)</f>
        <v>5406.98</v>
      </c>
      <c r="AR19" s="37" t="n">
        <v>0</v>
      </c>
      <c r="AS19" s="37" t="n">
        <f aca="false">SUM(AR19:AR19)</f>
        <v>0</v>
      </c>
      <c r="AT19" s="37" t="n">
        <f aca="false">AI19-AQ19+AS19</f>
        <v>12032.81</v>
      </c>
      <c r="AU19" s="37" t="n">
        <v>12032.81</v>
      </c>
      <c r="AV19" s="37" t="n">
        <f aca="false">AU19-AT19</f>
        <v>0</v>
      </c>
    </row>
    <row r="20" customFormat="false" ht="15" hidden="false" customHeight="true" outlineLevel="0" collapsed="false">
      <c r="A20" s="34" t="s">
        <v>134</v>
      </c>
      <c r="B20" s="34" t="s">
        <v>135</v>
      </c>
      <c r="C20" s="35" t="s">
        <v>155</v>
      </c>
      <c r="D20" s="36" t="n">
        <v>45853.5519560185</v>
      </c>
      <c r="E20" s="35" t="s">
        <v>137</v>
      </c>
      <c r="F20" s="35" t="s">
        <v>138</v>
      </c>
      <c r="G20" s="35" t="s">
        <v>5</v>
      </c>
      <c r="H20" s="35" t="s">
        <v>3</v>
      </c>
      <c r="I20" s="34" t="s">
        <v>139</v>
      </c>
      <c r="J20" s="34"/>
      <c r="K20" s="34" t="s">
        <v>140</v>
      </c>
      <c r="L20" s="34" t="s">
        <v>141</v>
      </c>
      <c r="M20" s="36" t="n">
        <v>45853</v>
      </c>
      <c r="N20" s="36" t="n">
        <v>45839</v>
      </c>
      <c r="O20" s="36" t="n">
        <v>45853</v>
      </c>
      <c r="P20" s="34" t="n">
        <v>15</v>
      </c>
      <c r="Q20" s="37" t="n">
        <v>12207.39</v>
      </c>
      <c r="R20" s="37" t="n">
        <v>0</v>
      </c>
      <c r="S20" s="37" t="n">
        <v>0</v>
      </c>
      <c r="T20" s="37" t="n">
        <v>0</v>
      </c>
      <c r="U20" s="37" t="n">
        <v>0</v>
      </c>
      <c r="V20" s="37" t="n">
        <v>1220.74</v>
      </c>
      <c r="W20" s="37" t="n">
        <v>0</v>
      </c>
      <c r="X20" s="37" t="n">
        <v>0</v>
      </c>
      <c r="Y20" s="37" t="n">
        <v>0</v>
      </c>
      <c r="Z20" s="37" t="n">
        <f aca="false">SUM(Q20:Y20)</f>
        <v>13428.13</v>
      </c>
      <c r="AA20" s="37" t="n">
        <v>0</v>
      </c>
      <c r="AB20" s="37" t="n">
        <v>0</v>
      </c>
      <c r="AC20" s="37" t="n">
        <v>0</v>
      </c>
      <c r="AD20" s="37" t="n">
        <v>0</v>
      </c>
      <c r="AE20" s="37" t="n">
        <v>0</v>
      </c>
      <c r="AF20" s="37" t="n">
        <v>0</v>
      </c>
      <c r="AG20" s="37" t="n">
        <v>400</v>
      </c>
      <c r="AH20" s="37" t="n">
        <f aca="false">SUM(AA20:AG20)</f>
        <v>400</v>
      </c>
      <c r="AI20" s="37" t="n">
        <f aca="false">Z20+AH20</f>
        <v>13828.13</v>
      </c>
      <c r="AJ20" s="37" t="n">
        <v>2045.22</v>
      </c>
      <c r="AK20" s="37" t="n">
        <v>261.34</v>
      </c>
      <c r="AL20" s="37" t="n">
        <v>1578.31</v>
      </c>
      <c r="AM20" s="37" t="n">
        <v>488.3</v>
      </c>
      <c r="AN20" s="37" t="n">
        <v>105</v>
      </c>
      <c r="AO20" s="37" t="n">
        <v>192.07</v>
      </c>
      <c r="AP20" s="37" t="n">
        <v>0</v>
      </c>
      <c r="AQ20" s="37" t="n">
        <f aca="false">SUM(AJ20:AP20)</f>
        <v>4670.24</v>
      </c>
      <c r="AR20" s="37" t="n">
        <v>0</v>
      </c>
      <c r="AS20" s="37" t="n">
        <f aca="false">SUM(AR20:AR20)</f>
        <v>0</v>
      </c>
      <c r="AT20" s="37" t="n">
        <f aca="false">AI20-AQ20+AS20</f>
        <v>9157.89</v>
      </c>
      <c r="AU20" s="37" t="n">
        <v>9157.89</v>
      </c>
      <c r="AV20" s="37" t="n">
        <f aca="false">AU20-AT20</f>
        <v>0</v>
      </c>
    </row>
    <row r="21" customFormat="false" ht="15" hidden="false" customHeight="true" outlineLevel="0" collapsed="false">
      <c r="A21" s="34" t="s">
        <v>134</v>
      </c>
      <c r="B21" s="34" t="s">
        <v>135</v>
      </c>
      <c r="C21" s="35" t="s">
        <v>156</v>
      </c>
      <c r="D21" s="36" t="n">
        <v>45856.4562615741</v>
      </c>
      <c r="E21" s="35" t="s">
        <v>137</v>
      </c>
      <c r="F21" s="35" t="s">
        <v>138</v>
      </c>
      <c r="G21" s="35" t="s">
        <v>5</v>
      </c>
      <c r="H21" s="35" t="s">
        <v>3</v>
      </c>
      <c r="I21" s="34" t="s">
        <v>143</v>
      </c>
      <c r="J21" s="34"/>
      <c r="K21" s="34" t="s">
        <v>140</v>
      </c>
      <c r="L21" s="34" t="s">
        <v>141</v>
      </c>
      <c r="M21" s="36" t="n">
        <v>45856</v>
      </c>
      <c r="N21" s="36" t="n">
        <v>45856</v>
      </c>
      <c r="O21" s="36" t="n">
        <v>45856</v>
      </c>
      <c r="P21" s="34" t="n">
        <v>1</v>
      </c>
      <c r="Q21" s="37" t="n">
        <v>0</v>
      </c>
      <c r="R21" s="37" t="n">
        <v>0</v>
      </c>
      <c r="S21" s="37" t="n">
        <v>0</v>
      </c>
      <c r="T21" s="37" t="n">
        <v>0</v>
      </c>
      <c r="U21" s="37" t="n">
        <v>0</v>
      </c>
      <c r="V21" s="37" t="n">
        <v>0</v>
      </c>
      <c r="W21" s="37" t="n">
        <v>0</v>
      </c>
      <c r="X21" s="37" t="n">
        <v>0</v>
      </c>
      <c r="Y21" s="37" t="n">
        <v>244.18</v>
      </c>
      <c r="Z21" s="37" t="n">
        <f aca="false">SUM(Q21:Y21)</f>
        <v>244.18</v>
      </c>
      <c r="AA21" s="37" t="n">
        <v>0</v>
      </c>
      <c r="AB21" s="37" t="n">
        <v>0</v>
      </c>
      <c r="AC21" s="37" t="n">
        <v>0</v>
      </c>
      <c r="AD21" s="37" t="n">
        <v>0</v>
      </c>
      <c r="AE21" s="37" t="n">
        <v>5859.6</v>
      </c>
      <c r="AF21" s="37" t="n">
        <v>5859.6</v>
      </c>
      <c r="AG21" s="37" t="n">
        <v>0</v>
      </c>
      <c r="AH21" s="37" t="n">
        <f aca="false">SUM(AA21:AG21)</f>
        <v>11719.2</v>
      </c>
      <c r="AI21" s="37" t="n">
        <f aca="false">Z21+AH21</f>
        <v>11963.38</v>
      </c>
      <c r="AJ21" s="37" t="n">
        <v>0</v>
      </c>
      <c r="AK21" s="37" t="n">
        <v>0</v>
      </c>
      <c r="AL21" s="37" t="n">
        <v>0</v>
      </c>
      <c r="AM21" s="37" t="n">
        <v>0</v>
      </c>
      <c r="AN21" s="37" t="n">
        <v>0</v>
      </c>
      <c r="AO21" s="37" t="n">
        <v>0</v>
      </c>
      <c r="AP21" s="37" t="n">
        <v>0</v>
      </c>
      <c r="AQ21" s="37" t="n">
        <f aca="false">SUM(AJ21:AP21)</f>
        <v>0</v>
      </c>
      <c r="AR21" s="37" t="n">
        <v>0</v>
      </c>
      <c r="AS21" s="37" t="n">
        <f aca="false">SUM(AR21:AR21)</f>
        <v>0</v>
      </c>
      <c r="AT21" s="37" t="n">
        <f aca="false">AI21-AQ21+AS21</f>
        <v>11963.38</v>
      </c>
      <c r="AU21" s="37" t="n">
        <v>11963.38</v>
      </c>
      <c r="AV21" s="37" t="n">
        <f aca="false">AU21-AT21</f>
        <v>0</v>
      </c>
    </row>
    <row r="22" customFormat="false" ht="15" hidden="false" customHeight="true" outlineLevel="0" collapsed="false">
      <c r="A22" s="34" t="s">
        <v>134</v>
      </c>
      <c r="B22" s="34" t="s">
        <v>135</v>
      </c>
      <c r="C22" s="35" t="s">
        <v>157</v>
      </c>
      <c r="D22" s="36" t="n">
        <v>45869.7489699074</v>
      </c>
      <c r="E22" s="35" t="s">
        <v>137</v>
      </c>
      <c r="F22" s="35" t="s">
        <v>138</v>
      </c>
      <c r="G22" s="35" t="s">
        <v>5</v>
      </c>
      <c r="H22" s="35" t="s">
        <v>3</v>
      </c>
      <c r="I22" s="34" t="s">
        <v>139</v>
      </c>
      <c r="J22" s="34"/>
      <c r="K22" s="34" t="s">
        <v>140</v>
      </c>
      <c r="L22" s="34" t="s">
        <v>141</v>
      </c>
      <c r="M22" s="36" t="n">
        <v>45869</v>
      </c>
      <c r="N22" s="36" t="n">
        <v>45854</v>
      </c>
      <c r="O22" s="36" t="n">
        <v>45869</v>
      </c>
      <c r="P22" s="34" t="n">
        <v>16</v>
      </c>
      <c r="Q22" s="37" t="n">
        <v>12207.39</v>
      </c>
      <c r="R22" s="37" t="n">
        <v>0</v>
      </c>
      <c r="S22" s="37" t="n">
        <v>0</v>
      </c>
      <c r="T22" s="37" t="n">
        <v>87.51</v>
      </c>
      <c r="U22" s="37" t="n">
        <v>0</v>
      </c>
      <c r="V22" s="37" t="n">
        <v>1220.74</v>
      </c>
      <c r="W22" s="37" t="n">
        <v>0</v>
      </c>
      <c r="X22" s="37" t="n">
        <v>1605.18</v>
      </c>
      <c r="Y22" s="37" t="n">
        <v>0</v>
      </c>
      <c r="Z22" s="37" t="n">
        <f aca="false">SUM(Q22:Y22)</f>
        <v>15120.82</v>
      </c>
      <c r="AA22" s="37" t="n">
        <v>0</v>
      </c>
      <c r="AB22" s="37" t="n">
        <v>113.14</v>
      </c>
      <c r="AC22" s="37" t="n">
        <v>0</v>
      </c>
      <c r="AD22" s="37" t="n">
        <v>0</v>
      </c>
      <c r="AE22" s="37" t="n">
        <v>0</v>
      </c>
      <c r="AF22" s="37" t="n">
        <v>0</v>
      </c>
      <c r="AG22" s="37" t="n">
        <v>400</v>
      </c>
      <c r="AH22" s="37" t="n">
        <f aca="false">SUM(AA22:AG22)</f>
        <v>513.14</v>
      </c>
      <c r="AI22" s="37" t="n">
        <f aca="false">Z22+AH22</f>
        <v>15633.96</v>
      </c>
      <c r="AJ22" s="37" t="n">
        <v>2388.08</v>
      </c>
      <c r="AK22" s="37" t="n">
        <v>278.76</v>
      </c>
      <c r="AL22" s="37" t="n">
        <v>1683.29</v>
      </c>
      <c r="AM22" s="37" t="n">
        <v>488.3</v>
      </c>
      <c r="AN22" s="37" t="n">
        <v>84</v>
      </c>
      <c r="AO22" s="37" t="n">
        <v>204.88</v>
      </c>
      <c r="AP22" s="37" t="n">
        <v>0</v>
      </c>
      <c r="AQ22" s="37" t="n">
        <f aca="false">SUM(AJ22:AP22)</f>
        <v>5127.31</v>
      </c>
      <c r="AR22" s="37" t="n">
        <v>0</v>
      </c>
      <c r="AS22" s="37" t="n">
        <f aca="false">SUM(AR22:AR22)</f>
        <v>0</v>
      </c>
      <c r="AT22" s="37" t="n">
        <f aca="false">AI22-AQ22+AS22</f>
        <v>10506.65</v>
      </c>
      <c r="AU22" s="37" t="n">
        <v>10506.65</v>
      </c>
      <c r="AV22" s="37" t="n">
        <f aca="false">AU22-AT22</f>
        <v>0</v>
      </c>
    </row>
    <row r="23" customFormat="false" ht="15" hidden="false" customHeight="true" outlineLevel="0" collapsed="false">
      <c r="A23" s="34" t="s">
        <v>134</v>
      </c>
      <c r="B23" s="34" t="s">
        <v>135</v>
      </c>
      <c r="C23" s="35" t="s">
        <v>158</v>
      </c>
      <c r="D23" s="36" t="n">
        <v>45884.6112384259</v>
      </c>
      <c r="E23" s="35" t="s">
        <v>137</v>
      </c>
      <c r="F23" s="35" t="s">
        <v>138</v>
      </c>
      <c r="G23" s="35" t="s">
        <v>5</v>
      </c>
      <c r="H23" s="35" t="s">
        <v>3</v>
      </c>
      <c r="I23" s="34" t="s">
        <v>139</v>
      </c>
      <c r="J23" s="34"/>
      <c r="K23" s="34" t="s">
        <v>140</v>
      </c>
      <c r="L23" s="34" t="s">
        <v>141</v>
      </c>
      <c r="M23" s="36" t="n">
        <v>45884</v>
      </c>
      <c r="N23" s="36" t="n">
        <v>45870</v>
      </c>
      <c r="O23" s="36" t="n">
        <v>45884</v>
      </c>
      <c r="P23" s="34" t="n">
        <v>15</v>
      </c>
      <c r="Q23" s="37" t="n">
        <v>7525.62</v>
      </c>
      <c r="R23" s="37" t="n">
        <v>4681.78</v>
      </c>
      <c r="S23" s="37" t="n">
        <v>0</v>
      </c>
      <c r="T23" s="37" t="n">
        <v>288.16</v>
      </c>
      <c r="U23" s="37" t="n">
        <v>0</v>
      </c>
      <c r="V23" s="37" t="n">
        <v>1220.74</v>
      </c>
      <c r="W23" s="37" t="n">
        <v>0</v>
      </c>
      <c r="X23" s="37" t="n">
        <v>3210.36</v>
      </c>
      <c r="Y23" s="37" t="n">
        <v>0</v>
      </c>
      <c r="Z23" s="37" t="n">
        <f aca="false">SUM(Q23:Y23)</f>
        <v>16926.66</v>
      </c>
      <c r="AA23" s="37" t="n">
        <v>0</v>
      </c>
      <c r="AB23" s="37" t="n">
        <v>113.14</v>
      </c>
      <c r="AC23" s="37" t="n">
        <v>0</v>
      </c>
      <c r="AD23" s="37" t="n">
        <v>0</v>
      </c>
      <c r="AE23" s="37" t="n">
        <v>0</v>
      </c>
      <c r="AF23" s="37" t="n">
        <v>0</v>
      </c>
      <c r="AG23" s="37" t="n">
        <v>400</v>
      </c>
      <c r="AH23" s="37" t="n">
        <f aca="false">SUM(AA23:AG23)</f>
        <v>513.14</v>
      </c>
      <c r="AI23" s="37" t="n">
        <f aca="false">Z23+AH23</f>
        <v>17439.8</v>
      </c>
      <c r="AJ23" s="37" t="n">
        <v>2786.24</v>
      </c>
      <c r="AK23" s="37" t="n">
        <v>278.76</v>
      </c>
      <c r="AL23" s="37" t="n">
        <v>1578.31</v>
      </c>
      <c r="AM23" s="37" t="n">
        <v>488.3</v>
      </c>
      <c r="AN23" s="37" t="n">
        <v>112</v>
      </c>
      <c r="AO23" s="37" t="n">
        <v>204.88</v>
      </c>
      <c r="AP23" s="37" t="n">
        <v>0</v>
      </c>
      <c r="AQ23" s="37" t="n">
        <f aca="false">SUM(AJ23:AP23)</f>
        <v>5448.49</v>
      </c>
      <c r="AR23" s="37" t="n">
        <v>0</v>
      </c>
      <c r="AS23" s="37" t="n">
        <f aca="false">SUM(AR23:AR23)</f>
        <v>0</v>
      </c>
      <c r="AT23" s="37" t="n">
        <f aca="false">AI23-AQ23+AS23</f>
        <v>11991.31</v>
      </c>
      <c r="AU23" s="37" t="n">
        <v>11991.31</v>
      </c>
      <c r="AV23" s="37" t="n">
        <f aca="false">AU23-AT23</f>
        <v>0</v>
      </c>
    </row>
    <row r="24" customFormat="false" ht="15" hidden="false" customHeight="true" outlineLevel="0" collapsed="false">
      <c r="A24" s="34" t="s">
        <v>134</v>
      </c>
      <c r="B24" s="34" t="s">
        <v>135</v>
      </c>
      <c r="C24" s="35" t="s">
        <v>159</v>
      </c>
      <c r="D24" s="36" t="n">
        <v>45898.4847453704</v>
      </c>
      <c r="E24" s="35" t="s">
        <v>137</v>
      </c>
      <c r="F24" s="35" t="s">
        <v>138</v>
      </c>
      <c r="G24" s="35" t="s">
        <v>5</v>
      </c>
      <c r="H24" s="35" t="s">
        <v>3</v>
      </c>
      <c r="I24" s="34" t="s">
        <v>139</v>
      </c>
      <c r="J24" s="34"/>
      <c r="K24" s="34" t="s">
        <v>140</v>
      </c>
      <c r="L24" s="34" t="s">
        <v>141</v>
      </c>
      <c r="M24" s="36" t="n">
        <v>45900</v>
      </c>
      <c r="N24" s="36" t="n">
        <v>45885</v>
      </c>
      <c r="O24" s="36" t="n">
        <v>45900</v>
      </c>
      <c r="P24" s="34" t="n">
        <v>16</v>
      </c>
      <c r="Q24" s="37" t="n">
        <v>12207.39</v>
      </c>
      <c r="R24" s="37" t="n">
        <v>0</v>
      </c>
      <c r="S24" s="37" t="n">
        <v>0</v>
      </c>
      <c r="T24" s="37" t="n">
        <v>0</v>
      </c>
      <c r="U24" s="37" t="n">
        <v>0</v>
      </c>
      <c r="V24" s="37" t="n">
        <v>1220.74</v>
      </c>
      <c r="W24" s="37" t="n">
        <v>0</v>
      </c>
      <c r="X24" s="37" t="n">
        <v>0</v>
      </c>
      <c r="Y24" s="37" t="n">
        <v>0</v>
      </c>
      <c r="Z24" s="37" t="n">
        <f aca="false">SUM(Q24:Y24)</f>
        <v>13428.13</v>
      </c>
      <c r="AA24" s="37" t="n">
        <v>0</v>
      </c>
      <c r="AB24" s="37" t="n">
        <v>0</v>
      </c>
      <c r="AC24" s="37" t="n">
        <v>0</v>
      </c>
      <c r="AD24" s="37" t="n">
        <v>0</v>
      </c>
      <c r="AE24" s="37" t="n">
        <v>0</v>
      </c>
      <c r="AF24" s="37" t="n">
        <v>0</v>
      </c>
      <c r="AG24" s="37" t="n">
        <v>400</v>
      </c>
      <c r="AH24" s="37" t="n">
        <f aca="false">SUM(AA24:AG24)</f>
        <v>400</v>
      </c>
      <c r="AI24" s="37" t="n">
        <f aca="false">Z24+AH24</f>
        <v>13828.13</v>
      </c>
      <c r="AJ24" s="37" t="n">
        <v>2045.22</v>
      </c>
      <c r="AK24" s="37" t="n">
        <v>278.76</v>
      </c>
      <c r="AL24" s="37" t="n">
        <v>1683.29</v>
      </c>
      <c r="AM24" s="37" t="n">
        <v>488.3</v>
      </c>
      <c r="AN24" s="37" t="n">
        <v>168</v>
      </c>
      <c r="AO24" s="37" t="n">
        <v>204.88</v>
      </c>
      <c r="AP24" s="37" t="n">
        <v>110</v>
      </c>
      <c r="AQ24" s="37" t="n">
        <f aca="false">SUM(AJ24:AP24)</f>
        <v>4978.45</v>
      </c>
      <c r="AR24" s="37" t="n">
        <v>0</v>
      </c>
      <c r="AS24" s="37" t="n">
        <f aca="false">SUM(AR24:AR24)</f>
        <v>0</v>
      </c>
      <c r="AT24" s="37" t="n">
        <f aca="false">AI24-AQ24+AS24</f>
        <v>8849.68</v>
      </c>
      <c r="AU24" s="37" t="n">
        <v>8849.68</v>
      </c>
      <c r="AV24" s="37" t="n">
        <f aca="false">AU24-AT24</f>
        <v>0</v>
      </c>
    </row>
    <row r="25" customFormat="false" ht="15" hidden="false" customHeight="true" outlineLevel="0" collapsed="false">
      <c r="A25" s="34" t="s">
        <v>134</v>
      </c>
      <c r="B25" s="34" t="s">
        <v>135</v>
      </c>
      <c r="C25" s="35" t="s">
        <v>160</v>
      </c>
      <c r="D25" s="36" t="n">
        <v>45917.486724537</v>
      </c>
      <c r="E25" s="35" t="s">
        <v>137</v>
      </c>
      <c r="F25" s="35" t="s">
        <v>138</v>
      </c>
      <c r="G25" s="35" t="s">
        <v>5</v>
      </c>
      <c r="H25" s="35" t="s">
        <v>3</v>
      </c>
      <c r="I25" s="34" t="s">
        <v>139</v>
      </c>
      <c r="J25" s="34"/>
      <c r="K25" s="34" t="s">
        <v>140</v>
      </c>
      <c r="L25" s="34" t="s">
        <v>141</v>
      </c>
      <c r="M25" s="36" t="n">
        <v>45915</v>
      </c>
      <c r="N25" s="36" t="n">
        <v>45901</v>
      </c>
      <c r="O25" s="36" t="n">
        <v>45915</v>
      </c>
      <c r="P25" s="34" t="n">
        <v>15</v>
      </c>
      <c r="Q25" s="37" t="n">
        <v>12207.39</v>
      </c>
      <c r="R25" s="37" t="n">
        <v>0</v>
      </c>
      <c r="S25" s="37" t="n">
        <v>0</v>
      </c>
      <c r="T25" s="37" t="n">
        <v>288.16</v>
      </c>
      <c r="U25" s="37" t="n">
        <v>0</v>
      </c>
      <c r="V25" s="37" t="n">
        <v>1220.74</v>
      </c>
      <c r="W25" s="37" t="n">
        <v>0</v>
      </c>
      <c r="X25" s="37" t="n">
        <v>3210.36</v>
      </c>
      <c r="Y25" s="37" t="n">
        <v>0</v>
      </c>
      <c r="Z25" s="37" t="n">
        <f aca="false">SUM(Q25:Y25)</f>
        <v>16926.65</v>
      </c>
      <c r="AA25" s="37" t="n">
        <v>0</v>
      </c>
      <c r="AB25" s="37" t="n">
        <v>113.14</v>
      </c>
      <c r="AC25" s="37" t="n">
        <v>0</v>
      </c>
      <c r="AD25" s="37" t="n">
        <v>0</v>
      </c>
      <c r="AE25" s="37" t="n">
        <v>0</v>
      </c>
      <c r="AF25" s="37" t="n">
        <v>0</v>
      </c>
      <c r="AG25" s="37" t="n">
        <v>400</v>
      </c>
      <c r="AH25" s="37" t="n">
        <f aca="false">SUM(AA25:AG25)</f>
        <v>513.14</v>
      </c>
      <c r="AI25" s="37" t="n">
        <f aca="false">Z25+AH25</f>
        <v>17439.79</v>
      </c>
      <c r="AJ25" s="37" t="n">
        <v>2786.24</v>
      </c>
      <c r="AK25" s="37" t="n">
        <v>210.5</v>
      </c>
      <c r="AL25" s="37" t="n">
        <v>1604.13</v>
      </c>
      <c r="AM25" s="37" t="n">
        <v>488.3</v>
      </c>
      <c r="AN25" s="37" t="n">
        <v>112</v>
      </c>
      <c r="AO25" s="37" t="n">
        <v>157.42</v>
      </c>
      <c r="AP25" s="37" t="n">
        <v>110</v>
      </c>
      <c r="AQ25" s="37" t="n">
        <f aca="false">SUM(AJ25:AP25)</f>
        <v>5468.59</v>
      </c>
      <c r="AR25" s="37" t="n">
        <v>0</v>
      </c>
      <c r="AS25" s="37" t="n">
        <f aca="false">SUM(AR25:AR25)</f>
        <v>0</v>
      </c>
      <c r="AT25" s="37" t="n">
        <f aca="false">AI25-AQ25+AS25</f>
        <v>11971.2</v>
      </c>
      <c r="AU25" s="37" t="n">
        <v>11971.2</v>
      </c>
      <c r="AV25" s="37" t="n">
        <f aca="false">AU25-AT25</f>
        <v>0</v>
      </c>
    </row>
    <row r="26" customFormat="false" ht="15" hidden="false" customHeight="true" outlineLevel="0" collapsed="false">
      <c r="A26" s="34" t="s">
        <v>134</v>
      </c>
      <c r="B26" s="34" t="s">
        <v>135</v>
      </c>
      <c r="C26" s="35" t="s">
        <v>161</v>
      </c>
      <c r="D26" s="36" t="n">
        <v>45930.5475231482</v>
      </c>
      <c r="E26" s="35" t="s">
        <v>137</v>
      </c>
      <c r="F26" s="35" t="s">
        <v>138</v>
      </c>
      <c r="G26" s="35" t="s">
        <v>5</v>
      </c>
      <c r="H26" s="35" t="s">
        <v>3</v>
      </c>
      <c r="I26" s="34" t="s">
        <v>139</v>
      </c>
      <c r="J26" s="34"/>
      <c r="K26" s="34" t="s">
        <v>140</v>
      </c>
      <c r="L26" s="34" t="s">
        <v>141</v>
      </c>
      <c r="M26" s="36" t="n">
        <v>45930</v>
      </c>
      <c r="N26" s="36" t="n">
        <v>45916</v>
      </c>
      <c r="O26" s="36" t="n">
        <v>45930</v>
      </c>
      <c r="P26" s="34" t="n">
        <v>15</v>
      </c>
      <c r="Q26" s="37" t="n">
        <v>12207.39</v>
      </c>
      <c r="R26" s="37" t="n">
        <v>0</v>
      </c>
      <c r="S26" s="37" t="n">
        <v>0</v>
      </c>
      <c r="T26" s="37" t="n">
        <v>288.16</v>
      </c>
      <c r="U26" s="37" t="n">
        <v>0</v>
      </c>
      <c r="V26" s="37" t="n">
        <v>1220.74</v>
      </c>
      <c r="W26" s="37" t="n">
        <v>0</v>
      </c>
      <c r="X26" s="37" t="n">
        <v>3210.36</v>
      </c>
      <c r="Y26" s="37" t="n">
        <v>0</v>
      </c>
      <c r="Z26" s="37" t="n">
        <f aca="false">SUM(Q26:Y26)</f>
        <v>16926.65</v>
      </c>
      <c r="AA26" s="37" t="n">
        <v>0</v>
      </c>
      <c r="AB26" s="37" t="n">
        <v>113.14</v>
      </c>
      <c r="AC26" s="37" t="n">
        <v>0</v>
      </c>
      <c r="AD26" s="37" t="n">
        <v>0</v>
      </c>
      <c r="AE26" s="37" t="n">
        <v>0</v>
      </c>
      <c r="AF26" s="37" t="n">
        <v>0</v>
      </c>
      <c r="AG26" s="37" t="n">
        <v>400</v>
      </c>
      <c r="AH26" s="37" t="n">
        <f aca="false">SUM(AA26:AG26)</f>
        <v>513.14</v>
      </c>
      <c r="AI26" s="37" t="n">
        <f aca="false">Z26+AH26</f>
        <v>17439.79</v>
      </c>
      <c r="AJ26" s="37" t="n">
        <v>2786.24</v>
      </c>
      <c r="AK26" s="37" t="n">
        <v>210.5</v>
      </c>
      <c r="AL26" s="37" t="n">
        <v>1604.13</v>
      </c>
      <c r="AM26" s="37" t="n">
        <v>488.3</v>
      </c>
      <c r="AN26" s="37" t="n">
        <v>168</v>
      </c>
      <c r="AO26" s="37" t="n">
        <v>157.42</v>
      </c>
      <c r="AP26" s="37" t="n">
        <v>0</v>
      </c>
      <c r="AQ26" s="37" t="n">
        <f aca="false">SUM(AJ26:AP26)</f>
        <v>5414.59</v>
      </c>
      <c r="AR26" s="37" t="n">
        <v>0</v>
      </c>
      <c r="AS26" s="37" t="n">
        <f aca="false">SUM(AR26:AR26)</f>
        <v>0</v>
      </c>
      <c r="AT26" s="37" t="n">
        <f aca="false">AI26-AQ26+AS26</f>
        <v>12025.2</v>
      </c>
      <c r="AU26" s="37" t="n">
        <v>12025.2</v>
      </c>
      <c r="AV26" s="37" t="n">
        <f aca="false">AU26-AT26</f>
        <v>0</v>
      </c>
    </row>
    <row r="27" customFormat="false" ht="15" hidden="false" customHeight="true" outlineLevel="0" collapsed="false">
      <c r="A27" s="34" t="s">
        <v>134</v>
      </c>
      <c r="B27" s="34" t="s">
        <v>135</v>
      </c>
      <c r="C27" s="35" t="s">
        <v>162</v>
      </c>
      <c r="D27" s="36" t="n">
        <v>45945.6890856482</v>
      </c>
      <c r="E27" s="35" t="s">
        <v>137</v>
      </c>
      <c r="F27" s="35" t="s">
        <v>138</v>
      </c>
      <c r="G27" s="35" t="s">
        <v>5</v>
      </c>
      <c r="H27" s="35" t="s">
        <v>3</v>
      </c>
      <c r="I27" s="34" t="s">
        <v>139</v>
      </c>
      <c r="J27" s="34"/>
      <c r="K27" s="34" t="s">
        <v>140</v>
      </c>
      <c r="L27" s="34" t="s">
        <v>141</v>
      </c>
      <c r="M27" s="36" t="n">
        <v>45945</v>
      </c>
      <c r="N27" s="36" t="n">
        <v>45931</v>
      </c>
      <c r="O27" s="36" t="n">
        <v>45945</v>
      </c>
      <c r="P27" s="34" t="n">
        <v>15</v>
      </c>
      <c r="Q27" s="37" t="n">
        <v>12207.39</v>
      </c>
      <c r="R27" s="37" t="n">
        <v>0</v>
      </c>
      <c r="S27" s="37" t="n">
        <v>0</v>
      </c>
      <c r="T27" s="37" t="n">
        <v>288.16</v>
      </c>
      <c r="U27" s="37" t="n">
        <v>0</v>
      </c>
      <c r="V27" s="37" t="n">
        <v>1220.74</v>
      </c>
      <c r="W27" s="37" t="n">
        <v>0</v>
      </c>
      <c r="X27" s="37" t="n">
        <v>0</v>
      </c>
      <c r="Y27" s="37" t="n">
        <v>0</v>
      </c>
      <c r="Z27" s="37" t="n">
        <f aca="false">SUM(Q27:Y27)</f>
        <v>13716.29</v>
      </c>
      <c r="AA27" s="37" t="n">
        <v>0</v>
      </c>
      <c r="AB27" s="37" t="n">
        <v>113.14</v>
      </c>
      <c r="AC27" s="37" t="n">
        <v>0</v>
      </c>
      <c r="AD27" s="37" t="n">
        <v>0</v>
      </c>
      <c r="AE27" s="37" t="n">
        <v>0</v>
      </c>
      <c r="AF27" s="37" t="n">
        <v>0</v>
      </c>
      <c r="AG27" s="37" t="n">
        <v>400</v>
      </c>
      <c r="AH27" s="37" t="n">
        <f aca="false">SUM(AA27:AG27)</f>
        <v>513.14</v>
      </c>
      <c r="AI27" s="37" t="n">
        <f aca="false">Z27+AH27</f>
        <v>14229.43</v>
      </c>
      <c r="AJ27" s="37" t="n">
        <v>2071.39</v>
      </c>
      <c r="AK27" s="37" t="n">
        <v>210.5</v>
      </c>
      <c r="AL27" s="37" t="n">
        <v>1604.13</v>
      </c>
      <c r="AM27" s="37" t="n">
        <v>488.3</v>
      </c>
      <c r="AN27" s="37" t="n">
        <v>224</v>
      </c>
      <c r="AO27" s="37" t="n">
        <v>157.42</v>
      </c>
      <c r="AP27" s="37" t="n">
        <v>0</v>
      </c>
      <c r="AQ27" s="37" t="n">
        <f aca="false">SUM(AJ27:AP27)</f>
        <v>4755.74</v>
      </c>
      <c r="AR27" s="37" t="n">
        <v>0</v>
      </c>
      <c r="AS27" s="37" t="n">
        <f aca="false">SUM(AR27:AR27)</f>
        <v>0</v>
      </c>
      <c r="AT27" s="37" t="n">
        <f aca="false">AI27-AQ27+AS27</f>
        <v>9473.69</v>
      </c>
      <c r="AU27" s="37" t="n">
        <v>9473.69</v>
      </c>
      <c r="AV27" s="37" t="n">
        <f aca="false">AU27-AT27</f>
        <v>0</v>
      </c>
    </row>
    <row r="28" customFormat="false" ht="15" hidden="false" customHeight="true" outlineLevel="0" collapsed="false">
      <c r="A28" s="34" t="s">
        <v>134</v>
      </c>
      <c r="B28" s="34" t="s">
        <v>135</v>
      </c>
      <c r="C28" s="35" t="s">
        <v>163</v>
      </c>
      <c r="D28" s="36" t="n">
        <v>45961.6097337963</v>
      </c>
      <c r="E28" s="35" t="s">
        <v>137</v>
      </c>
      <c r="F28" s="35" t="s">
        <v>138</v>
      </c>
      <c r="G28" s="35" t="s">
        <v>5</v>
      </c>
      <c r="H28" s="35" t="s">
        <v>3</v>
      </c>
      <c r="I28" s="34" t="s">
        <v>139</v>
      </c>
      <c r="J28" s="34"/>
      <c r="K28" s="34" t="s">
        <v>140</v>
      </c>
      <c r="L28" s="34" t="s">
        <v>141</v>
      </c>
      <c r="M28" s="36" t="n">
        <v>45961</v>
      </c>
      <c r="N28" s="36" t="n">
        <v>45946</v>
      </c>
      <c r="O28" s="36" t="n">
        <v>45961</v>
      </c>
      <c r="P28" s="34" t="n">
        <v>16</v>
      </c>
      <c r="Q28" s="37" t="n">
        <v>12207.39</v>
      </c>
      <c r="R28" s="37" t="n">
        <v>0</v>
      </c>
      <c r="S28" s="37" t="n">
        <v>0</v>
      </c>
      <c r="T28" s="37" t="n">
        <v>288.16</v>
      </c>
      <c r="U28" s="37" t="n">
        <v>0</v>
      </c>
      <c r="V28" s="37" t="n">
        <v>1220.74</v>
      </c>
      <c r="W28" s="37" t="n">
        <v>0</v>
      </c>
      <c r="X28" s="37" t="n">
        <v>1605.18</v>
      </c>
      <c r="Y28" s="37" t="n">
        <v>0</v>
      </c>
      <c r="Z28" s="37" t="n">
        <f aca="false">SUM(Q28:Y28)</f>
        <v>15321.47</v>
      </c>
      <c r="AA28" s="37" t="n">
        <v>0</v>
      </c>
      <c r="AB28" s="37" t="n">
        <v>113.14</v>
      </c>
      <c r="AC28" s="37" t="n">
        <v>0</v>
      </c>
      <c r="AD28" s="37" t="n">
        <v>0</v>
      </c>
      <c r="AE28" s="37" t="n">
        <v>0</v>
      </c>
      <c r="AF28" s="37" t="n">
        <v>0</v>
      </c>
      <c r="AG28" s="37" t="n">
        <v>400</v>
      </c>
      <c r="AH28" s="37" t="n">
        <f aca="false">SUM(AA28:AG28)</f>
        <v>513.14</v>
      </c>
      <c r="AI28" s="37" t="n">
        <f aca="false">Z28+AH28</f>
        <v>15834.61</v>
      </c>
      <c r="AJ28" s="37" t="n">
        <v>2414.25</v>
      </c>
      <c r="AK28" s="37" t="n">
        <v>224.54</v>
      </c>
      <c r="AL28" s="37" t="n">
        <v>1710.82</v>
      </c>
      <c r="AM28" s="37" t="n">
        <v>488.3</v>
      </c>
      <c r="AN28" s="37" t="n">
        <v>140</v>
      </c>
      <c r="AO28" s="37" t="n">
        <v>167.91</v>
      </c>
      <c r="AP28" s="37" t="n">
        <v>0</v>
      </c>
      <c r="AQ28" s="37" t="n">
        <f aca="false">SUM(AJ28:AP28)</f>
        <v>5145.82</v>
      </c>
      <c r="AR28" s="37" t="n">
        <v>0</v>
      </c>
      <c r="AS28" s="37" t="n">
        <f aca="false">SUM(AR28:AR28)</f>
        <v>0</v>
      </c>
      <c r="AT28" s="37" t="n">
        <f aca="false">AI28-AQ28+AS28</f>
        <v>10688.79</v>
      </c>
      <c r="AU28" s="37" t="n">
        <v>10688.79</v>
      </c>
      <c r="AV28" s="37" t="n">
        <f aca="false">AU28-AT28</f>
        <v>0</v>
      </c>
    </row>
    <row r="29" customFormat="false" ht="15" hidden="false" customHeight="true" outlineLevel="0" collapsed="false">
      <c r="A29" s="34" t="s">
        <v>134</v>
      </c>
      <c r="B29" s="34" t="s">
        <v>135</v>
      </c>
      <c r="C29" s="35" t="s">
        <v>164</v>
      </c>
      <c r="D29" s="36" t="n">
        <v>45975.5377430556</v>
      </c>
      <c r="E29" s="35" t="s">
        <v>137</v>
      </c>
      <c r="F29" s="35" t="s">
        <v>138</v>
      </c>
      <c r="G29" s="35" t="s">
        <v>5</v>
      </c>
      <c r="H29" s="35" t="s">
        <v>3</v>
      </c>
      <c r="I29" s="34" t="s">
        <v>139</v>
      </c>
      <c r="J29" s="34"/>
      <c r="K29" s="34" t="s">
        <v>140</v>
      </c>
      <c r="L29" s="34" t="s">
        <v>141</v>
      </c>
      <c r="M29" s="36" t="n">
        <v>45976</v>
      </c>
      <c r="N29" s="36" t="n">
        <v>45962</v>
      </c>
      <c r="O29" s="36" t="n">
        <v>45976</v>
      </c>
      <c r="P29" s="34" t="n">
        <v>15</v>
      </c>
      <c r="Q29" s="37" t="n">
        <v>12207.39</v>
      </c>
      <c r="R29" s="37" t="n">
        <v>0</v>
      </c>
      <c r="S29" s="37" t="n">
        <v>0</v>
      </c>
      <c r="T29" s="37" t="n">
        <v>87.51</v>
      </c>
      <c r="U29" s="37" t="n">
        <v>0</v>
      </c>
      <c r="V29" s="37" t="n">
        <v>1220.74</v>
      </c>
      <c r="W29" s="37" t="n">
        <v>0</v>
      </c>
      <c r="X29" s="37" t="n">
        <v>0</v>
      </c>
      <c r="Y29" s="37" t="n">
        <v>0</v>
      </c>
      <c r="Z29" s="37" t="n">
        <f aca="false">SUM(Q29:Y29)</f>
        <v>13515.64</v>
      </c>
      <c r="AA29" s="37" t="n">
        <v>0</v>
      </c>
      <c r="AB29" s="37" t="n">
        <v>113.14</v>
      </c>
      <c r="AC29" s="37" t="n">
        <v>0</v>
      </c>
      <c r="AD29" s="37" t="n">
        <v>0</v>
      </c>
      <c r="AE29" s="37" t="n">
        <v>0</v>
      </c>
      <c r="AF29" s="37" t="n">
        <v>0</v>
      </c>
      <c r="AG29" s="37" t="n">
        <v>400</v>
      </c>
      <c r="AH29" s="37" t="n">
        <f aca="false">SUM(AA29:AG29)</f>
        <v>513.14</v>
      </c>
      <c r="AI29" s="37" t="n">
        <f aca="false">Z29+AH29</f>
        <v>14028.78</v>
      </c>
      <c r="AJ29" s="37" t="n">
        <v>2045.22</v>
      </c>
      <c r="AK29" s="37" t="n">
        <v>227.97</v>
      </c>
      <c r="AL29" s="37" t="n">
        <v>1177.36</v>
      </c>
      <c r="AM29" s="37" t="n">
        <v>488.3</v>
      </c>
      <c r="AN29" s="37" t="n">
        <v>168</v>
      </c>
      <c r="AO29" s="37" t="n">
        <v>169.31</v>
      </c>
      <c r="AP29" s="37" t="n">
        <v>0</v>
      </c>
      <c r="AQ29" s="37" t="n">
        <f aca="false">SUM(AJ29:AP29)</f>
        <v>4276.16</v>
      </c>
      <c r="AR29" s="37" t="n">
        <v>0</v>
      </c>
      <c r="AS29" s="37" t="n">
        <f aca="false">SUM(AR29:AR29)</f>
        <v>0</v>
      </c>
      <c r="AT29" s="37" t="n">
        <f aca="false">AI29-AQ29+AS29</f>
        <v>9752.62</v>
      </c>
      <c r="AU29" s="37" t="n">
        <v>9752.62</v>
      </c>
      <c r="AV29" s="37" t="n">
        <f aca="false">AU29-AT29</f>
        <v>0</v>
      </c>
    </row>
    <row r="30" customFormat="false" ht="15" hidden="false" customHeight="true" outlineLevel="0" collapsed="false">
      <c r="A30" s="34" t="s">
        <v>134</v>
      </c>
      <c r="B30" s="34" t="s">
        <v>135</v>
      </c>
      <c r="C30" s="35" t="s">
        <v>165</v>
      </c>
      <c r="D30" s="36" t="n">
        <v>45989.4441550926</v>
      </c>
      <c r="E30" s="35" t="s">
        <v>137</v>
      </c>
      <c r="F30" s="35" t="s">
        <v>138</v>
      </c>
      <c r="G30" s="35" t="s">
        <v>5</v>
      </c>
      <c r="H30" s="35" t="s">
        <v>3</v>
      </c>
      <c r="I30" s="34" t="s">
        <v>139</v>
      </c>
      <c r="J30" s="34"/>
      <c r="K30" s="34" t="s">
        <v>140</v>
      </c>
      <c r="L30" s="34" t="s">
        <v>141</v>
      </c>
      <c r="M30" s="36" t="n">
        <v>45991</v>
      </c>
      <c r="N30" s="36" t="n">
        <v>45977</v>
      </c>
      <c r="O30" s="36" t="n">
        <v>45991</v>
      </c>
      <c r="P30" s="34" t="n">
        <v>15</v>
      </c>
      <c r="Q30" s="37" t="n">
        <v>12207.39</v>
      </c>
      <c r="R30" s="37" t="n">
        <v>0</v>
      </c>
      <c r="S30" s="37" t="n">
        <v>0</v>
      </c>
      <c r="T30" s="37" t="n">
        <v>288.16</v>
      </c>
      <c r="U30" s="37" t="n">
        <v>0</v>
      </c>
      <c r="V30" s="37" t="n">
        <v>1220.74</v>
      </c>
      <c r="W30" s="37" t="n">
        <v>0</v>
      </c>
      <c r="X30" s="37" t="n">
        <v>1605.18</v>
      </c>
      <c r="Y30" s="37" t="n">
        <v>0</v>
      </c>
      <c r="Z30" s="37" t="n">
        <f aca="false">SUM(Q30:Y30)</f>
        <v>15321.47</v>
      </c>
      <c r="AA30" s="37" t="n">
        <v>0</v>
      </c>
      <c r="AB30" s="37" t="n">
        <v>113.14</v>
      </c>
      <c r="AC30" s="37" t="n">
        <v>0</v>
      </c>
      <c r="AD30" s="37" t="n">
        <v>0</v>
      </c>
      <c r="AE30" s="37" t="n">
        <v>0</v>
      </c>
      <c r="AF30" s="37" t="n">
        <v>0</v>
      </c>
      <c r="AG30" s="37" t="n">
        <v>400</v>
      </c>
      <c r="AH30" s="37" t="n">
        <f aca="false">SUM(AA30:AG30)</f>
        <v>513.14</v>
      </c>
      <c r="AI30" s="37" t="n">
        <f aca="false">Z30+AH30</f>
        <v>15834.61</v>
      </c>
      <c r="AJ30" s="37" t="n">
        <v>2414.25</v>
      </c>
      <c r="AK30" s="37" t="n">
        <v>227.97</v>
      </c>
      <c r="AL30" s="37" t="n">
        <v>1604.13</v>
      </c>
      <c r="AM30" s="37" t="n">
        <v>488.3</v>
      </c>
      <c r="AN30" s="37" t="n">
        <v>112</v>
      </c>
      <c r="AO30" s="37" t="n">
        <v>169.31</v>
      </c>
      <c r="AP30" s="37" t="n">
        <v>0</v>
      </c>
      <c r="AQ30" s="37" t="n">
        <f aca="false">SUM(AJ30:AP30)</f>
        <v>5015.96</v>
      </c>
      <c r="AR30" s="37" t="n">
        <v>0</v>
      </c>
      <c r="AS30" s="37" t="n">
        <f aca="false">SUM(AR30:AR30)</f>
        <v>0</v>
      </c>
      <c r="AT30" s="37" t="n">
        <f aca="false">AI30-AQ30+AS30</f>
        <v>10818.65</v>
      </c>
      <c r="AU30" s="37" t="n">
        <v>10818.65</v>
      </c>
      <c r="AV30" s="37" t="n">
        <f aca="false">AU30-AT30</f>
        <v>0</v>
      </c>
    </row>
    <row r="31" customFormat="false" ht="15" hidden="false" customHeight="true" outlineLevel="0" collapsed="false">
      <c r="A31" s="34" t="s">
        <v>134</v>
      </c>
      <c r="B31" s="34" t="s">
        <v>135</v>
      </c>
      <c r="C31" s="35" t="s">
        <v>166</v>
      </c>
      <c r="D31" s="36" t="n">
        <v>45996.6128819444</v>
      </c>
      <c r="E31" s="35" t="s">
        <v>137</v>
      </c>
      <c r="F31" s="35" t="s">
        <v>138</v>
      </c>
      <c r="G31" s="35" t="s">
        <v>5</v>
      </c>
      <c r="H31" s="35" t="s">
        <v>3</v>
      </c>
      <c r="I31" s="34" t="s">
        <v>143</v>
      </c>
      <c r="J31" s="34"/>
      <c r="K31" s="34" t="s">
        <v>140</v>
      </c>
      <c r="L31" s="34" t="s">
        <v>141</v>
      </c>
      <c r="M31" s="36" t="n">
        <v>45996</v>
      </c>
      <c r="N31" s="36" t="n">
        <v>45996</v>
      </c>
      <c r="O31" s="36" t="n">
        <v>45996</v>
      </c>
      <c r="P31" s="34" t="n">
        <v>1</v>
      </c>
      <c r="Q31" s="37" t="n">
        <v>0</v>
      </c>
      <c r="R31" s="37" t="n">
        <v>0</v>
      </c>
      <c r="S31" s="37" t="n">
        <v>0</v>
      </c>
      <c r="T31" s="37" t="n">
        <v>0</v>
      </c>
      <c r="U31" s="37" t="n">
        <v>8644.65</v>
      </c>
      <c r="V31" s="37" t="n">
        <v>0</v>
      </c>
      <c r="W31" s="37" t="n">
        <v>0</v>
      </c>
      <c r="X31" s="37" t="n">
        <v>0</v>
      </c>
      <c r="Y31" s="37" t="n">
        <v>0</v>
      </c>
      <c r="Z31" s="37" t="n">
        <f aca="false">SUM(Q31:Y31)</f>
        <v>8644.65</v>
      </c>
      <c r="AA31" s="37" t="n">
        <v>0</v>
      </c>
      <c r="AB31" s="37" t="n">
        <v>0</v>
      </c>
      <c r="AC31" s="37" t="n">
        <v>3394.2</v>
      </c>
      <c r="AD31" s="37" t="n">
        <v>0</v>
      </c>
      <c r="AE31" s="37" t="n">
        <v>0</v>
      </c>
      <c r="AF31" s="37" t="n">
        <v>0</v>
      </c>
      <c r="AG31" s="37" t="n">
        <v>0</v>
      </c>
      <c r="AH31" s="37" t="n">
        <f aca="false">SUM(AA31:AG31)</f>
        <v>3394.2</v>
      </c>
      <c r="AI31" s="37" t="n">
        <f aca="false">Z31+AH31</f>
        <v>12038.85</v>
      </c>
      <c r="AJ31" s="37" t="n">
        <v>1846.5</v>
      </c>
      <c r="AK31" s="37" t="n">
        <v>0</v>
      </c>
      <c r="AL31" s="37" t="n">
        <v>0</v>
      </c>
      <c r="AM31" s="37" t="n">
        <v>0</v>
      </c>
      <c r="AN31" s="37" t="n">
        <v>0</v>
      </c>
      <c r="AO31" s="37" t="n">
        <v>0</v>
      </c>
      <c r="AP31" s="37" t="n">
        <v>0</v>
      </c>
      <c r="AQ31" s="37" t="n">
        <f aca="false">SUM(AJ31:AP31)</f>
        <v>1846.5</v>
      </c>
      <c r="AR31" s="37" t="n">
        <v>0</v>
      </c>
      <c r="AS31" s="37" t="n">
        <f aca="false">SUM(AR31:AR31)</f>
        <v>0</v>
      </c>
      <c r="AT31" s="37" t="n">
        <f aca="false">AI31-AQ31+AS31</f>
        <v>10192.35</v>
      </c>
      <c r="AU31" s="37" t="n">
        <v>10192.35</v>
      </c>
      <c r="AV31" s="37" t="n">
        <f aca="false">AU31-AT31</f>
        <v>0</v>
      </c>
    </row>
    <row r="32" customFormat="false" ht="15" hidden="false" customHeight="true" outlineLevel="0" collapsed="false">
      <c r="A32" s="34" t="s">
        <v>134</v>
      </c>
      <c r="B32" s="34" t="s">
        <v>135</v>
      </c>
      <c r="C32" s="35" t="s">
        <v>167</v>
      </c>
      <c r="D32" s="36" t="n">
        <v>46007.370462963</v>
      </c>
      <c r="E32" s="35" t="s">
        <v>137</v>
      </c>
      <c r="F32" s="35" t="s">
        <v>138</v>
      </c>
      <c r="G32" s="35" t="s">
        <v>5</v>
      </c>
      <c r="H32" s="35" t="s">
        <v>3</v>
      </c>
      <c r="I32" s="34" t="s">
        <v>139</v>
      </c>
      <c r="J32" s="34"/>
      <c r="K32" s="34" t="s">
        <v>140</v>
      </c>
      <c r="L32" s="34" t="s">
        <v>141</v>
      </c>
      <c r="M32" s="36" t="n">
        <v>46006</v>
      </c>
      <c r="N32" s="36" t="n">
        <v>45992</v>
      </c>
      <c r="O32" s="36" t="n">
        <v>46006</v>
      </c>
      <c r="P32" s="34" t="n">
        <v>15</v>
      </c>
      <c r="Q32" s="37" t="n">
        <v>12207.39</v>
      </c>
      <c r="R32" s="37" t="n">
        <v>0</v>
      </c>
      <c r="S32" s="37" t="n">
        <v>0</v>
      </c>
      <c r="T32" s="37" t="n">
        <v>87.51</v>
      </c>
      <c r="U32" s="37" t="n">
        <v>0</v>
      </c>
      <c r="V32" s="37" t="n">
        <v>1220.74</v>
      </c>
      <c r="W32" s="37" t="n">
        <v>0</v>
      </c>
      <c r="X32" s="37" t="n">
        <v>1605.18</v>
      </c>
      <c r="Y32" s="37" t="n">
        <v>0</v>
      </c>
      <c r="Z32" s="37" t="n">
        <f aca="false">SUM(Q32:Y32)</f>
        <v>15120.82</v>
      </c>
      <c r="AA32" s="37" t="n">
        <v>0</v>
      </c>
      <c r="AB32" s="37" t="n">
        <v>113.14</v>
      </c>
      <c r="AC32" s="37" t="n">
        <v>0</v>
      </c>
      <c r="AD32" s="37" t="n">
        <v>0</v>
      </c>
      <c r="AE32" s="37" t="n">
        <v>0</v>
      </c>
      <c r="AF32" s="37" t="n">
        <v>0</v>
      </c>
      <c r="AG32" s="37" t="n">
        <v>400</v>
      </c>
      <c r="AH32" s="37" t="n">
        <f aca="false">SUM(AA32:AG32)</f>
        <v>513.14</v>
      </c>
      <c r="AI32" s="37" t="n">
        <f aca="false">Z32+AH32</f>
        <v>15633.96</v>
      </c>
      <c r="AJ32" s="37" t="n">
        <v>2388.08</v>
      </c>
      <c r="AK32" s="37" t="n">
        <v>227.97</v>
      </c>
      <c r="AL32" s="37" t="n">
        <v>1497.44</v>
      </c>
      <c r="AM32" s="37" t="n">
        <v>488.3</v>
      </c>
      <c r="AN32" s="37" t="n">
        <v>56</v>
      </c>
      <c r="AO32" s="37" t="n">
        <v>169.31</v>
      </c>
      <c r="AP32" s="37" t="n">
        <v>0</v>
      </c>
      <c r="AQ32" s="37" t="n">
        <f aca="false">SUM(AJ32:AP32)</f>
        <v>4827.1</v>
      </c>
      <c r="AR32" s="37" t="n">
        <v>0</v>
      </c>
      <c r="AS32" s="37" t="n">
        <f aca="false">SUM(AR32:AR32)</f>
        <v>0</v>
      </c>
      <c r="AT32" s="37" t="n">
        <f aca="false">AI32-AQ32+AS32</f>
        <v>10806.86</v>
      </c>
      <c r="AU32" s="37" t="n">
        <v>10806.86</v>
      </c>
      <c r="AV32" s="37" t="n">
        <f aca="false">AU32-AT32</f>
        <v>0</v>
      </c>
    </row>
    <row r="33" customFormat="false" ht="15" hidden="false" customHeight="true" outlineLevel="0" collapsed="false">
      <c r="A33" s="34" t="s">
        <v>134</v>
      </c>
      <c r="B33" s="34" t="s">
        <v>135</v>
      </c>
      <c r="C33" s="35" t="s">
        <v>168</v>
      </c>
      <c r="D33" s="36" t="n">
        <v>46021.7911805556</v>
      </c>
      <c r="E33" s="35" t="s">
        <v>137</v>
      </c>
      <c r="F33" s="35" t="s">
        <v>138</v>
      </c>
      <c r="G33" s="35" t="s">
        <v>5</v>
      </c>
      <c r="H33" s="35" t="s">
        <v>3</v>
      </c>
      <c r="I33" s="34" t="s">
        <v>139</v>
      </c>
      <c r="J33" s="34"/>
      <c r="K33" s="34" t="s">
        <v>140</v>
      </c>
      <c r="L33" s="34" t="s">
        <v>141</v>
      </c>
      <c r="M33" s="36" t="n">
        <v>46022</v>
      </c>
      <c r="N33" s="36" t="n">
        <v>46007</v>
      </c>
      <c r="O33" s="36" t="n">
        <v>46022</v>
      </c>
      <c r="P33" s="34" t="n">
        <v>16</v>
      </c>
      <c r="Q33" s="37" t="n">
        <v>12207.39</v>
      </c>
      <c r="R33" s="37" t="n">
        <v>0</v>
      </c>
      <c r="S33" s="37" t="n">
        <v>0</v>
      </c>
      <c r="T33" s="37" t="n">
        <v>288.16</v>
      </c>
      <c r="U33" s="37" t="n">
        <v>0</v>
      </c>
      <c r="V33" s="37" t="n">
        <v>1220.74</v>
      </c>
      <c r="W33" s="37" t="n">
        <v>0</v>
      </c>
      <c r="X33" s="37" t="n">
        <v>3210.36</v>
      </c>
      <c r="Y33" s="37" t="n">
        <v>0</v>
      </c>
      <c r="Z33" s="37" t="n">
        <f aca="false">SUM(Q33:Y33)</f>
        <v>16926.65</v>
      </c>
      <c r="AA33" s="37" t="n">
        <v>0</v>
      </c>
      <c r="AB33" s="37" t="n">
        <v>113.14</v>
      </c>
      <c r="AC33" s="37" t="n">
        <v>0</v>
      </c>
      <c r="AD33" s="37" t="n">
        <v>0</v>
      </c>
      <c r="AE33" s="37" t="n">
        <v>0</v>
      </c>
      <c r="AF33" s="37" t="n">
        <v>0</v>
      </c>
      <c r="AG33" s="37" t="n">
        <v>400</v>
      </c>
      <c r="AH33" s="37" t="n">
        <f aca="false">SUM(AA33:AG33)</f>
        <v>513.14</v>
      </c>
      <c r="AI33" s="37" t="n">
        <f aca="false">Z33+AH33</f>
        <v>17439.79</v>
      </c>
      <c r="AJ33" s="37" t="n">
        <v>2786.24</v>
      </c>
      <c r="AK33" s="37" t="n">
        <v>243.15</v>
      </c>
      <c r="AL33" s="37" t="n">
        <v>1710.82</v>
      </c>
      <c r="AM33" s="37" t="n">
        <v>488.3</v>
      </c>
      <c r="AN33" s="37" t="n">
        <v>112</v>
      </c>
      <c r="AO33" s="37" t="n">
        <v>180.6</v>
      </c>
      <c r="AP33" s="37" t="n">
        <v>266.67</v>
      </c>
      <c r="AQ33" s="37" t="n">
        <f aca="false">SUM(AJ33:AP33)</f>
        <v>5787.78</v>
      </c>
      <c r="AR33" s="37" t="n">
        <v>0</v>
      </c>
      <c r="AS33" s="37" t="n">
        <f aca="false">SUM(AR33:AR33)</f>
        <v>0</v>
      </c>
      <c r="AT33" s="37" t="n">
        <f aca="false">AI33-AQ33+AS33</f>
        <v>11652.01</v>
      </c>
      <c r="AU33" s="37" t="n">
        <v>11652.01</v>
      </c>
      <c r="AV33" s="37" t="n">
        <f aca="false">AU33-AT33</f>
        <v>0</v>
      </c>
    </row>
    <row r="34" customFormat="false" ht="15" hidden="false" customHeight="true" outlineLevel="0" collapsed="false">
      <c r="A34" s="38" t="s">
        <v>169</v>
      </c>
      <c r="B34" s="38"/>
      <c r="C34" s="38"/>
      <c r="D34" s="38"/>
      <c r="E34" s="38"/>
      <c r="F34" s="38"/>
      <c r="G34" s="38"/>
      <c r="H34" s="38"/>
      <c r="I34" s="38"/>
      <c r="J34" s="38"/>
      <c r="K34" s="38"/>
      <c r="L34" s="38"/>
      <c r="M34" s="38"/>
      <c r="N34" s="38"/>
      <c r="O34" s="38"/>
      <c r="P34" s="38"/>
      <c r="Q34" s="39" t="n">
        <f aca="false">SUM(Q7:Q33)</f>
        <v>288295.59</v>
      </c>
      <c r="R34" s="39" t="n">
        <f aca="false">SUM(R7:R33)</f>
        <v>4681.78</v>
      </c>
      <c r="S34" s="39" t="n">
        <f aca="false">SUM(S7:S33)</f>
        <v>1581.81</v>
      </c>
      <c r="T34" s="39" t="n">
        <f aca="false">SUM(T7:T33)</f>
        <v>4873.07</v>
      </c>
      <c r="U34" s="39" t="n">
        <f aca="false">SUM(U7:U33)</f>
        <v>8644.65</v>
      </c>
      <c r="V34" s="39" t="n">
        <f aca="false">SUM(V7:V33)</f>
        <v>29297.76</v>
      </c>
      <c r="W34" s="39" t="n">
        <f aca="false">SUM(W7:W33)</f>
        <v>1605.18</v>
      </c>
      <c r="X34" s="39" t="n">
        <f aca="false">SUM(X7:X33)</f>
        <v>36919.14</v>
      </c>
      <c r="Y34" s="39" t="n">
        <f aca="false">SUM(Y7:Y33)</f>
        <v>790.17</v>
      </c>
      <c r="Z34" s="39" t="n">
        <f aca="false">SUM(Z7:Z33)</f>
        <v>376689.15</v>
      </c>
      <c r="AA34" s="39" t="n">
        <f aca="false">SUM(AA7:AA33)</f>
        <v>1628.55</v>
      </c>
      <c r="AB34" s="39" t="n">
        <f aca="false">SUM(AB7:AB33)</f>
        <v>2149.66</v>
      </c>
      <c r="AC34" s="39" t="n">
        <f aca="false">SUM(AC7:AC33)</f>
        <v>3394.2</v>
      </c>
      <c r="AD34" s="39" t="n">
        <f aca="false">SUM(AD7:AD33)</f>
        <v>0</v>
      </c>
      <c r="AE34" s="39" t="n">
        <f aca="false">SUM(AE7:AE33)</f>
        <v>11719.2</v>
      </c>
      <c r="AF34" s="39" t="n">
        <f aca="false">SUM(AF7:AF33)</f>
        <v>11719.2</v>
      </c>
      <c r="AG34" s="39" t="n">
        <f aca="false">SUM(AG7:AG33)</f>
        <v>9600</v>
      </c>
      <c r="AH34" s="39" t="n">
        <f aca="false">SUM(AH7:AH33)</f>
        <v>40210.81</v>
      </c>
      <c r="AI34" s="39" t="n">
        <f aca="false">SUM(AI7:AI33)</f>
        <v>416899.96</v>
      </c>
      <c r="AJ34" s="39" t="n">
        <f aca="false">SUM(AJ7:AJ33)</f>
        <v>59948.37</v>
      </c>
      <c r="AK34" s="39" t="n">
        <f aca="false">SUM(AK7:AK33)</f>
        <v>5247.01</v>
      </c>
      <c r="AL34" s="39" t="n">
        <f aca="false">SUM(AL7:AL33)</f>
        <v>38605.79</v>
      </c>
      <c r="AM34" s="39" t="n">
        <f aca="false">SUM(AM7:AM33)</f>
        <v>11719.2</v>
      </c>
      <c r="AN34" s="39" t="n">
        <f aca="false">SUM(AN7:AN33)</f>
        <v>3262</v>
      </c>
      <c r="AO34" s="39" t="n">
        <f aca="false">SUM(AO7:AO33)</f>
        <v>3915.18</v>
      </c>
      <c r="AP34" s="39" t="n">
        <f aca="false">SUM(AP7:AP33)</f>
        <v>976.27</v>
      </c>
      <c r="AQ34" s="39" t="n">
        <f aca="false">SUM(AQ7:AQ33)</f>
        <v>123673.82</v>
      </c>
      <c r="AR34" s="39" t="n">
        <f aca="false">SUM(AR7:AR33)</f>
        <v>0</v>
      </c>
      <c r="AS34" s="39" t="n">
        <f aca="false">SUM(AS7:AS33)</f>
        <v>0</v>
      </c>
      <c r="AT34" s="39" t="n">
        <f aca="false">SUM(AT7:AT33)</f>
        <v>293226.14</v>
      </c>
      <c r="AU34" s="39" t="n">
        <f aca="false">SUM(AU7:AU33)</f>
        <v>293226.14</v>
      </c>
      <c r="AV34" s="39" t="n">
        <f aca="false">SUM(AV7:AV33)</f>
        <v>0</v>
      </c>
    </row>
    <row r="35" customFormat="false" ht="15" hidden="false" customHeight="true" outlineLevel="0" collapsed="false">
      <c r="A35" s="34" t="s">
        <v>134</v>
      </c>
      <c r="B35" s="34" t="s">
        <v>135</v>
      </c>
      <c r="C35" s="35" t="s">
        <v>170</v>
      </c>
      <c r="D35" s="36" t="n">
        <v>45672.3519675926</v>
      </c>
      <c r="E35" s="35" t="s">
        <v>171</v>
      </c>
      <c r="F35" s="35" t="s">
        <v>172</v>
      </c>
      <c r="G35" s="35" t="s">
        <v>5</v>
      </c>
      <c r="H35" s="35" t="s">
        <v>3</v>
      </c>
      <c r="I35" s="34" t="s">
        <v>139</v>
      </c>
      <c r="J35" s="34"/>
      <c r="K35" s="34" t="s">
        <v>140</v>
      </c>
      <c r="L35" s="34" t="s">
        <v>141</v>
      </c>
      <c r="M35" s="36" t="n">
        <v>45672</v>
      </c>
      <c r="N35" s="36" t="n">
        <v>45658</v>
      </c>
      <c r="O35" s="36" t="n">
        <v>45672</v>
      </c>
      <c r="P35" s="34" t="n">
        <v>1</v>
      </c>
      <c r="Q35" s="37" t="n">
        <v>0</v>
      </c>
      <c r="R35" s="37" t="n">
        <v>0</v>
      </c>
      <c r="S35" s="37" t="n">
        <v>0</v>
      </c>
      <c r="T35" s="37" t="n">
        <v>0</v>
      </c>
      <c r="U35" s="37" t="n">
        <v>0</v>
      </c>
      <c r="V35" s="37" t="n">
        <v>0</v>
      </c>
      <c r="W35" s="37" t="n">
        <v>0</v>
      </c>
      <c r="X35" s="37" t="n">
        <v>0</v>
      </c>
      <c r="Y35" s="37" t="n">
        <v>0</v>
      </c>
      <c r="Z35" s="37" t="n">
        <f aca="false">SUM(Q35:Y35)</f>
        <v>0</v>
      </c>
      <c r="AA35" s="37" t="n">
        <v>0</v>
      </c>
      <c r="AB35" s="37" t="n">
        <v>0</v>
      </c>
      <c r="AC35" s="37" t="n">
        <v>0</v>
      </c>
      <c r="AD35" s="37" t="n">
        <v>6325.25</v>
      </c>
      <c r="AE35" s="37" t="n">
        <v>0</v>
      </c>
      <c r="AF35" s="37" t="n">
        <v>0</v>
      </c>
      <c r="AG35" s="37" t="n">
        <v>0</v>
      </c>
      <c r="AH35" s="37" t="n">
        <f aca="false">SUM(AA35:AG35)</f>
        <v>6325.25</v>
      </c>
      <c r="AI35" s="37" t="n">
        <f aca="false">Z35+AH35</f>
        <v>6325.25</v>
      </c>
      <c r="AJ35" s="37" t="n">
        <v>0</v>
      </c>
      <c r="AK35" s="37" t="n">
        <v>0</v>
      </c>
      <c r="AL35" s="37" t="n">
        <v>0</v>
      </c>
      <c r="AM35" s="37" t="n">
        <v>0</v>
      </c>
      <c r="AN35" s="37" t="n">
        <v>0</v>
      </c>
      <c r="AO35" s="37" t="n">
        <v>0</v>
      </c>
      <c r="AP35" s="37" t="n">
        <v>0</v>
      </c>
      <c r="AQ35" s="37" t="n">
        <f aca="false">SUM(AJ35:AP35)</f>
        <v>0</v>
      </c>
      <c r="AR35" s="37" t="n">
        <v>0</v>
      </c>
      <c r="AS35" s="37" t="n">
        <f aca="false">SUM(AR35:AR35)</f>
        <v>0</v>
      </c>
      <c r="AT35" s="37" t="n">
        <f aca="false">AI35-AQ35+AS35</f>
        <v>6325.25</v>
      </c>
      <c r="AU35" s="37" t="n">
        <v>6325.25</v>
      </c>
      <c r="AV35" s="37" t="n">
        <f aca="false">AU35-AT35</f>
        <v>0</v>
      </c>
    </row>
    <row r="36" customFormat="false" ht="15" hidden="false" customHeight="true" outlineLevel="0" collapsed="false">
      <c r="A36" s="34" t="s">
        <v>134</v>
      </c>
      <c r="B36" s="34" t="s">
        <v>135</v>
      </c>
      <c r="C36" s="35" t="s">
        <v>173</v>
      </c>
      <c r="D36" s="36" t="n">
        <v>45688.3568981482</v>
      </c>
      <c r="E36" s="35" t="s">
        <v>171</v>
      </c>
      <c r="F36" s="35" t="s">
        <v>172</v>
      </c>
      <c r="G36" s="35" t="s">
        <v>5</v>
      </c>
      <c r="H36" s="35" t="s">
        <v>3</v>
      </c>
      <c r="I36" s="34" t="s">
        <v>139</v>
      </c>
      <c r="J36" s="34"/>
      <c r="K36" s="34" t="s">
        <v>140</v>
      </c>
      <c r="L36" s="34" t="s">
        <v>141</v>
      </c>
      <c r="M36" s="36" t="n">
        <v>45688</v>
      </c>
      <c r="N36" s="36" t="n">
        <v>45673</v>
      </c>
      <c r="O36" s="36" t="n">
        <v>45687</v>
      </c>
      <c r="P36" s="34" t="n">
        <v>1</v>
      </c>
      <c r="Q36" s="37" t="n">
        <v>0</v>
      </c>
      <c r="R36" s="37" t="n">
        <v>0</v>
      </c>
      <c r="S36" s="37" t="n">
        <v>0</v>
      </c>
      <c r="T36" s="37" t="n">
        <v>0</v>
      </c>
      <c r="U36" s="37" t="n">
        <v>0</v>
      </c>
      <c r="V36" s="37" t="n">
        <v>0</v>
      </c>
      <c r="W36" s="37" t="n">
        <v>0</v>
      </c>
      <c r="X36" s="37" t="n">
        <v>0</v>
      </c>
      <c r="Y36" s="37" t="n">
        <v>0</v>
      </c>
      <c r="Z36" s="37" t="n">
        <f aca="false">SUM(Q36:Y36)</f>
        <v>0</v>
      </c>
      <c r="AA36" s="37" t="n">
        <v>0</v>
      </c>
      <c r="AB36" s="37" t="n">
        <v>0</v>
      </c>
      <c r="AC36" s="37" t="n">
        <v>0</v>
      </c>
      <c r="AD36" s="37" t="n">
        <v>7989.79</v>
      </c>
      <c r="AE36" s="37" t="n">
        <v>0</v>
      </c>
      <c r="AF36" s="37" t="n">
        <v>0</v>
      </c>
      <c r="AG36" s="37" t="n">
        <v>0</v>
      </c>
      <c r="AH36" s="37" t="n">
        <f aca="false">SUM(AA36:AG36)</f>
        <v>7989.79</v>
      </c>
      <c r="AI36" s="37" t="n">
        <f aca="false">Z36+AH36</f>
        <v>7989.79</v>
      </c>
      <c r="AJ36" s="37" t="n">
        <v>0</v>
      </c>
      <c r="AK36" s="37" t="n">
        <v>0</v>
      </c>
      <c r="AL36" s="37" t="n">
        <v>0</v>
      </c>
      <c r="AM36" s="37" t="n">
        <v>0</v>
      </c>
      <c r="AN36" s="37" t="n">
        <v>0</v>
      </c>
      <c r="AO36" s="37" t="n">
        <v>0</v>
      </c>
      <c r="AP36" s="37" t="n">
        <v>0</v>
      </c>
      <c r="AQ36" s="37" t="n">
        <f aca="false">SUM(AJ36:AP36)</f>
        <v>0</v>
      </c>
      <c r="AR36" s="37" t="n">
        <v>0</v>
      </c>
      <c r="AS36" s="37" t="n">
        <f aca="false">SUM(AR36:AR36)</f>
        <v>0</v>
      </c>
      <c r="AT36" s="37" t="n">
        <f aca="false">AI36-AQ36+AS36</f>
        <v>7989.79</v>
      </c>
      <c r="AU36" s="37" t="n">
        <v>7989.79</v>
      </c>
      <c r="AV36" s="37" t="n">
        <f aca="false">AU36-AT36</f>
        <v>0</v>
      </c>
    </row>
    <row r="37" customFormat="false" ht="15" hidden="false" customHeight="true" outlineLevel="0" collapsed="false">
      <c r="A37" s="34" t="s">
        <v>134</v>
      </c>
      <c r="B37" s="34" t="s">
        <v>135</v>
      </c>
      <c r="C37" s="35" t="s">
        <v>174</v>
      </c>
      <c r="D37" s="36" t="n">
        <v>45702.6281597222</v>
      </c>
      <c r="E37" s="35" t="s">
        <v>171</v>
      </c>
      <c r="F37" s="35" t="s">
        <v>172</v>
      </c>
      <c r="G37" s="35" t="s">
        <v>5</v>
      </c>
      <c r="H37" s="35" t="s">
        <v>3</v>
      </c>
      <c r="I37" s="34" t="s">
        <v>139</v>
      </c>
      <c r="J37" s="34"/>
      <c r="K37" s="34" t="s">
        <v>140</v>
      </c>
      <c r="L37" s="34" t="s">
        <v>141</v>
      </c>
      <c r="M37" s="36" t="n">
        <v>45702</v>
      </c>
      <c r="N37" s="36" t="n">
        <v>45689</v>
      </c>
      <c r="O37" s="36" t="n">
        <v>45703</v>
      </c>
      <c r="P37" s="34" t="n">
        <v>1</v>
      </c>
      <c r="Q37" s="37" t="n">
        <v>0</v>
      </c>
      <c r="R37" s="37" t="n">
        <v>0</v>
      </c>
      <c r="S37" s="37" t="n">
        <v>0</v>
      </c>
      <c r="T37" s="37" t="n">
        <v>0</v>
      </c>
      <c r="U37" s="37" t="n">
        <v>0</v>
      </c>
      <c r="V37" s="37" t="n">
        <v>0</v>
      </c>
      <c r="W37" s="37" t="n">
        <v>0</v>
      </c>
      <c r="X37" s="37" t="n">
        <v>0</v>
      </c>
      <c r="Y37" s="37" t="n">
        <v>0</v>
      </c>
      <c r="Z37" s="37" t="n">
        <f aca="false">SUM(Q37:Y37)</f>
        <v>0</v>
      </c>
      <c r="AA37" s="37" t="n">
        <v>0</v>
      </c>
      <c r="AB37" s="37" t="n">
        <v>0</v>
      </c>
      <c r="AC37" s="37" t="n">
        <v>0</v>
      </c>
      <c r="AD37" s="37" t="n">
        <v>6325.25</v>
      </c>
      <c r="AE37" s="37" t="n">
        <v>0</v>
      </c>
      <c r="AF37" s="37" t="n">
        <v>0</v>
      </c>
      <c r="AG37" s="37" t="n">
        <v>0</v>
      </c>
      <c r="AH37" s="37" t="n">
        <f aca="false">SUM(AA37:AG37)</f>
        <v>6325.25</v>
      </c>
      <c r="AI37" s="37" t="n">
        <f aca="false">Z37+AH37</f>
        <v>6325.25</v>
      </c>
      <c r="AJ37" s="37" t="n">
        <v>0</v>
      </c>
      <c r="AK37" s="37" t="n">
        <v>0</v>
      </c>
      <c r="AL37" s="37" t="n">
        <v>0</v>
      </c>
      <c r="AM37" s="37" t="n">
        <v>0</v>
      </c>
      <c r="AN37" s="37" t="n">
        <v>0</v>
      </c>
      <c r="AO37" s="37" t="n">
        <v>0</v>
      </c>
      <c r="AP37" s="37" t="n">
        <v>0</v>
      </c>
      <c r="AQ37" s="37" t="n">
        <f aca="false">SUM(AJ37:AP37)</f>
        <v>0</v>
      </c>
      <c r="AR37" s="37" t="n">
        <v>0</v>
      </c>
      <c r="AS37" s="37" t="n">
        <f aca="false">SUM(AR37:AR37)</f>
        <v>0</v>
      </c>
      <c r="AT37" s="37" t="n">
        <f aca="false">AI37-AQ37+AS37</f>
        <v>6325.25</v>
      </c>
      <c r="AU37" s="37" t="n">
        <v>6325.25</v>
      </c>
      <c r="AV37" s="37" t="n">
        <f aca="false">AU37-AT37</f>
        <v>0</v>
      </c>
    </row>
    <row r="38" customFormat="false" ht="15" hidden="false" customHeight="true" outlineLevel="0" collapsed="false">
      <c r="A38" s="34" t="s">
        <v>134</v>
      </c>
      <c r="B38" s="34" t="s">
        <v>135</v>
      </c>
      <c r="C38" s="35" t="s">
        <v>175</v>
      </c>
      <c r="D38" s="36" t="n">
        <v>45716.3492592593</v>
      </c>
      <c r="E38" s="35" t="s">
        <v>171</v>
      </c>
      <c r="F38" s="35" t="s">
        <v>172</v>
      </c>
      <c r="G38" s="35" t="s">
        <v>5</v>
      </c>
      <c r="H38" s="35" t="s">
        <v>3</v>
      </c>
      <c r="I38" s="34" t="s">
        <v>139</v>
      </c>
      <c r="J38" s="34"/>
      <c r="K38" s="34" t="s">
        <v>140</v>
      </c>
      <c r="L38" s="34" t="s">
        <v>141</v>
      </c>
      <c r="M38" s="36" t="n">
        <v>45716</v>
      </c>
      <c r="N38" s="36" t="n">
        <v>45704</v>
      </c>
      <c r="O38" s="36" t="n">
        <v>45716</v>
      </c>
      <c r="P38" s="34" t="n">
        <v>1</v>
      </c>
      <c r="Q38" s="37" t="n">
        <v>0</v>
      </c>
      <c r="R38" s="37" t="n">
        <v>0</v>
      </c>
      <c r="S38" s="37" t="n">
        <v>0</v>
      </c>
      <c r="T38" s="37" t="n">
        <v>0</v>
      </c>
      <c r="U38" s="37" t="n">
        <v>0</v>
      </c>
      <c r="V38" s="37" t="n">
        <v>0</v>
      </c>
      <c r="W38" s="37" t="n">
        <v>0</v>
      </c>
      <c r="X38" s="37" t="n">
        <v>0</v>
      </c>
      <c r="Y38" s="37" t="n">
        <v>0</v>
      </c>
      <c r="Z38" s="37" t="n">
        <f aca="false">SUM(Q38:Y38)</f>
        <v>0</v>
      </c>
      <c r="AA38" s="37" t="n">
        <v>0</v>
      </c>
      <c r="AB38" s="37" t="n">
        <v>0</v>
      </c>
      <c r="AC38" s="37" t="n">
        <v>0</v>
      </c>
      <c r="AD38" s="37" t="n">
        <v>6325.25</v>
      </c>
      <c r="AE38" s="37" t="n">
        <v>0</v>
      </c>
      <c r="AF38" s="37" t="n">
        <v>0</v>
      </c>
      <c r="AG38" s="37" t="n">
        <v>0</v>
      </c>
      <c r="AH38" s="37" t="n">
        <f aca="false">SUM(AA38:AG38)</f>
        <v>6325.25</v>
      </c>
      <c r="AI38" s="37" t="n">
        <f aca="false">Z38+AH38</f>
        <v>6325.25</v>
      </c>
      <c r="AJ38" s="37" t="n">
        <v>0</v>
      </c>
      <c r="AK38" s="37" t="n">
        <v>0</v>
      </c>
      <c r="AL38" s="37" t="n">
        <v>0</v>
      </c>
      <c r="AM38" s="37" t="n">
        <v>0</v>
      </c>
      <c r="AN38" s="37" t="n">
        <v>0</v>
      </c>
      <c r="AO38" s="37" t="n">
        <v>0</v>
      </c>
      <c r="AP38" s="37" t="n">
        <v>0</v>
      </c>
      <c r="AQ38" s="37" t="n">
        <f aca="false">SUM(AJ38:AP38)</f>
        <v>0</v>
      </c>
      <c r="AR38" s="37" t="n">
        <v>0</v>
      </c>
      <c r="AS38" s="37" t="n">
        <f aca="false">SUM(AR38:AR38)</f>
        <v>0</v>
      </c>
      <c r="AT38" s="37" t="n">
        <f aca="false">AI38-AQ38+AS38</f>
        <v>6325.25</v>
      </c>
      <c r="AU38" s="37" t="n">
        <v>6325.25</v>
      </c>
      <c r="AV38" s="37" t="n">
        <f aca="false">AU38-AT38</f>
        <v>0</v>
      </c>
    </row>
    <row r="39" customFormat="false" ht="15" hidden="false" customHeight="true" outlineLevel="0" collapsed="false">
      <c r="A39" s="34" t="s">
        <v>134</v>
      </c>
      <c r="B39" s="34" t="s">
        <v>135</v>
      </c>
      <c r="C39" s="35" t="s">
        <v>176</v>
      </c>
      <c r="D39" s="36" t="n">
        <v>45730.5692361111</v>
      </c>
      <c r="E39" s="35" t="s">
        <v>171</v>
      </c>
      <c r="F39" s="35" t="s">
        <v>172</v>
      </c>
      <c r="G39" s="35" t="s">
        <v>5</v>
      </c>
      <c r="H39" s="35" t="s">
        <v>3</v>
      </c>
      <c r="I39" s="34" t="s">
        <v>139</v>
      </c>
      <c r="J39" s="34"/>
      <c r="K39" s="34" t="s">
        <v>140</v>
      </c>
      <c r="L39" s="34" t="s">
        <v>141</v>
      </c>
      <c r="M39" s="36" t="n">
        <v>45730</v>
      </c>
      <c r="N39" s="36" t="n">
        <v>45717</v>
      </c>
      <c r="O39" s="36" t="n">
        <v>45731</v>
      </c>
      <c r="P39" s="34" t="n">
        <v>1</v>
      </c>
      <c r="Q39" s="37" t="n">
        <v>0</v>
      </c>
      <c r="R39" s="37" t="n">
        <v>0</v>
      </c>
      <c r="S39" s="37" t="n">
        <v>0</v>
      </c>
      <c r="T39" s="37" t="n">
        <v>0</v>
      </c>
      <c r="U39" s="37" t="n">
        <v>0</v>
      </c>
      <c r="V39" s="37" t="n">
        <v>0</v>
      </c>
      <c r="W39" s="37" t="n">
        <v>0</v>
      </c>
      <c r="X39" s="37" t="n">
        <v>0</v>
      </c>
      <c r="Y39" s="37" t="n">
        <v>0</v>
      </c>
      <c r="Z39" s="37" t="n">
        <f aca="false">SUM(Q39:Y39)</f>
        <v>0</v>
      </c>
      <c r="AA39" s="37" t="n">
        <v>0</v>
      </c>
      <c r="AB39" s="37" t="n">
        <v>0</v>
      </c>
      <c r="AC39" s="37" t="n">
        <v>0</v>
      </c>
      <c r="AD39" s="37" t="n">
        <v>6325.25</v>
      </c>
      <c r="AE39" s="37" t="n">
        <v>0</v>
      </c>
      <c r="AF39" s="37" t="n">
        <v>0</v>
      </c>
      <c r="AG39" s="37" t="n">
        <v>0</v>
      </c>
      <c r="AH39" s="37" t="n">
        <f aca="false">SUM(AA39:AG39)</f>
        <v>6325.25</v>
      </c>
      <c r="AI39" s="37" t="n">
        <f aca="false">Z39+AH39</f>
        <v>6325.25</v>
      </c>
      <c r="AJ39" s="37" t="n">
        <v>0</v>
      </c>
      <c r="AK39" s="37" t="n">
        <v>0</v>
      </c>
      <c r="AL39" s="37" t="n">
        <v>0</v>
      </c>
      <c r="AM39" s="37" t="n">
        <v>0</v>
      </c>
      <c r="AN39" s="37" t="n">
        <v>0</v>
      </c>
      <c r="AO39" s="37" t="n">
        <v>0</v>
      </c>
      <c r="AP39" s="37" t="n">
        <v>0</v>
      </c>
      <c r="AQ39" s="37" t="n">
        <f aca="false">SUM(AJ39:AP39)</f>
        <v>0</v>
      </c>
      <c r="AR39" s="37" t="n">
        <v>0</v>
      </c>
      <c r="AS39" s="37" t="n">
        <f aca="false">SUM(AR39:AR39)</f>
        <v>0</v>
      </c>
      <c r="AT39" s="37" t="n">
        <f aca="false">AI39-AQ39+AS39</f>
        <v>6325.25</v>
      </c>
      <c r="AU39" s="37" t="n">
        <v>6325.25</v>
      </c>
      <c r="AV39" s="37" t="n">
        <f aca="false">AU39-AT39</f>
        <v>0</v>
      </c>
    </row>
    <row r="40" customFormat="false" ht="15" hidden="false" customHeight="true" outlineLevel="0" collapsed="false">
      <c r="A40" s="34" t="s">
        <v>134</v>
      </c>
      <c r="B40" s="34" t="s">
        <v>135</v>
      </c>
      <c r="C40" s="35" t="s">
        <v>177</v>
      </c>
      <c r="D40" s="36" t="n">
        <v>45747.4525</v>
      </c>
      <c r="E40" s="35" t="s">
        <v>171</v>
      </c>
      <c r="F40" s="35" t="s">
        <v>172</v>
      </c>
      <c r="G40" s="35" t="s">
        <v>5</v>
      </c>
      <c r="H40" s="35" t="s">
        <v>3</v>
      </c>
      <c r="I40" s="34" t="s">
        <v>139</v>
      </c>
      <c r="J40" s="34"/>
      <c r="K40" s="34" t="s">
        <v>140</v>
      </c>
      <c r="L40" s="34" t="s">
        <v>141</v>
      </c>
      <c r="M40" s="36" t="n">
        <v>45747</v>
      </c>
      <c r="N40" s="36" t="n">
        <v>45744</v>
      </c>
      <c r="O40" s="36" t="n">
        <v>45744</v>
      </c>
      <c r="P40" s="34" t="n">
        <v>1</v>
      </c>
      <c r="Q40" s="37" t="n">
        <v>0</v>
      </c>
      <c r="R40" s="37" t="n">
        <v>0</v>
      </c>
      <c r="S40" s="37" t="n">
        <v>0</v>
      </c>
      <c r="T40" s="37" t="n">
        <v>0</v>
      </c>
      <c r="U40" s="37" t="n">
        <v>0</v>
      </c>
      <c r="V40" s="37" t="n">
        <v>0</v>
      </c>
      <c r="W40" s="37" t="n">
        <v>0</v>
      </c>
      <c r="X40" s="37" t="n">
        <v>0</v>
      </c>
      <c r="Y40" s="37" t="n">
        <v>0</v>
      </c>
      <c r="Z40" s="37" t="n">
        <f aca="false">SUM(Q40:Y40)</f>
        <v>0</v>
      </c>
      <c r="AA40" s="37" t="n">
        <v>0</v>
      </c>
      <c r="AB40" s="37" t="n">
        <v>0</v>
      </c>
      <c r="AC40" s="37" t="n">
        <v>0</v>
      </c>
      <c r="AD40" s="37" t="n">
        <v>6325.25</v>
      </c>
      <c r="AE40" s="37" t="n">
        <v>0</v>
      </c>
      <c r="AF40" s="37" t="n">
        <v>0</v>
      </c>
      <c r="AG40" s="37" t="n">
        <v>0</v>
      </c>
      <c r="AH40" s="37" t="n">
        <f aca="false">SUM(AA40:AG40)</f>
        <v>6325.25</v>
      </c>
      <c r="AI40" s="37" t="n">
        <f aca="false">Z40+AH40</f>
        <v>6325.25</v>
      </c>
      <c r="AJ40" s="37" t="n">
        <v>0</v>
      </c>
      <c r="AK40" s="37" t="n">
        <v>0</v>
      </c>
      <c r="AL40" s="37" t="n">
        <v>0</v>
      </c>
      <c r="AM40" s="37" t="n">
        <v>0</v>
      </c>
      <c r="AN40" s="37" t="n">
        <v>0</v>
      </c>
      <c r="AO40" s="37" t="n">
        <v>0</v>
      </c>
      <c r="AP40" s="37" t="n">
        <v>0</v>
      </c>
      <c r="AQ40" s="37" t="n">
        <f aca="false">SUM(AJ40:AP40)</f>
        <v>0</v>
      </c>
      <c r="AR40" s="37" t="n">
        <v>0</v>
      </c>
      <c r="AS40" s="37" t="n">
        <f aca="false">SUM(AR40:AR40)</f>
        <v>0</v>
      </c>
      <c r="AT40" s="37" t="n">
        <f aca="false">AI40-AQ40+AS40</f>
        <v>6325.25</v>
      </c>
      <c r="AU40" s="37" t="n">
        <v>6325.25</v>
      </c>
      <c r="AV40" s="37" t="n">
        <f aca="false">AU40-AT40</f>
        <v>0</v>
      </c>
    </row>
    <row r="41" customFormat="false" ht="15" hidden="false" customHeight="true" outlineLevel="0" collapsed="false">
      <c r="A41" s="34" t="s">
        <v>134</v>
      </c>
      <c r="B41" s="34" t="s">
        <v>135</v>
      </c>
      <c r="C41" s="35" t="s">
        <v>178</v>
      </c>
      <c r="D41" s="36" t="n">
        <v>45762.3875</v>
      </c>
      <c r="E41" s="35" t="s">
        <v>171</v>
      </c>
      <c r="F41" s="35" t="s">
        <v>172</v>
      </c>
      <c r="G41" s="35" t="s">
        <v>5</v>
      </c>
      <c r="H41" s="35" t="s">
        <v>3</v>
      </c>
      <c r="I41" s="34" t="s">
        <v>139</v>
      </c>
      <c r="J41" s="34"/>
      <c r="K41" s="34" t="s">
        <v>140</v>
      </c>
      <c r="L41" s="34" t="s">
        <v>141</v>
      </c>
      <c r="M41" s="36" t="n">
        <v>45762</v>
      </c>
      <c r="N41" s="36" t="n">
        <v>45748</v>
      </c>
      <c r="O41" s="36" t="n">
        <v>45762</v>
      </c>
      <c r="P41" s="34" t="n">
        <v>1</v>
      </c>
      <c r="Q41" s="37" t="n">
        <v>0</v>
      </c>
      <c r="R41" s="37" t="n">
        <v>0</v>
      </c>
      <c r="S41" s="37" t="n">
        <v>0</v>
      </c>
      <c r="T41" s="37" t="n">
        <v>0</v>
      </c>
      <c r="U41" s="37" t="n">
        <v>0</v>
      </c>
      <c r="V41" s="37" t="n">
        <v>0</v>
      </c>
      <c r="W41" s="37" t="n">
        <v>0</v>
      </c>
      <c r="X41" s="37" t="n">
        <v>0</v>
      </c>
      <c r="Y41" s="37" t="n">
        <v>0</v>
      </c>
      <c r="Z41" s="37" t="n">
        <f aca="false">SUM(Q41:Y41)</f>
        <v>0</v>
      </c>
      <c r="AA41" s="37" t="n">
        <v>0</v>
      </c>
      <c r="AB41" s="37" t="n">
        <v>0</v>
      </c>
      <c r="AC41" s="37" t="n">
        <v>0</v>
      </c>
      <c r="AD41" s="37" t="n">
        <v>6325.25</v>
      </c>
      <c r="AE41" s="37" t="n">
        <v>0</v>
      </c>
      <c r="AF41" s="37" t="n">
        <v>0</v>
      </c>
      <c r="AG41" s="37" t="n">
        <v>0</v>
      </c>
      <c r="AH41" s="37" t="n">
        <f aca="false">SUM(AA41:AG41)</f>
        <v>6325.25</v>
      </c>
      <c r="AI41" s="37" t="n">
        <f aca="false">Z41+AH41</f>
        <v>6325.25</v>
      </c>
      <c r="AJ41" s="37" t="n">
        <v>0</v>
      </c>
      <c r="AK41" s="37" t="n">
        <v>0</v>
      </c>
      <c r="AL41" s="37" t="n">
        <v>0</v>
      </c>
      <c r="AM41" s="37" t="n">
        <v>0</v>
      </c>
      <c r="AN41" s="37" t="n">
        <v>0</v>
      </c>
      <c r="AO41" s="37" t="n">
        <v>0</v>
      </c>
      <c r="AP41" s="37" t="n">
        <v>0</v>
      </c>
      <c r="AQ41" s="37" t="n">
        <f aca="false">SUM(AJ41:AP41)</f>
        <v>0</v>
      </c>
      <c r="AR41" s="37" t="n">
        <v>0</v>
      </c>
      <c r="AS41" s="37" t="n">
        <f aca="false">SUM(AR41:AR41)</f>
        <v>0</v>
      </c>
      <c r="AT41" s="37" t="n">
        <f aca="false">AI41-AQ41+AS41</f>
        <v>6325.25</v>
      </c>
      <c r="AU41" s="37" t="n">
        <v>6325.25</v>
      </c>
      <c r="AV41" s="37" t="n">
        <f aca="false">AU41-AT41</f>
        <v>0</v>
      </c>
    </row>
    <row r="42" customFormat="false" ht="15" hidden="false" customHeight="true" outlineLevel="0" collapsed="false">
      <c r="A42" s="34" t="s">
        <v>134</v>
      </c>
      <c r="B42" s="34" t="s">
        <v>135</v>
      </c>
      <c r="C42" s="35" t="s">
        <v>179</v>
      </c>
      <c r="D42" s="36" t="n">
        <v>45777.3860532407</v>
      </c>
      <c r="E42" s="35" t="s">
        <v>171</v>
      </c>
      <c r="F42" s="35" t="s">
        <v>172</v>
      </c>
      <c r="G42" s="35" t="s">
        <v>5</v>
      </c>
      <c r="H42" s="35" t="s">
        <v>3</v>
      </c>
      <c r="I42" s="34" t="s">
        <v>139</v>
      </c>
      <c r="J42" s="34"/>
      <c r="K42" s="34" t="s">
        <v>140</v>
      </c>
      <c r="L42" s="34" t="s">
        <v>141</v>
      </c>
      <c r="M42" s="36" t="n">
        <v>45777</v>
      </c>
      <c r="N42" s="36" t="n">
        <v>45763</v>
      </c>
      <c r="O42" s="36" t="n">
        <v>45777</v>
      </c>
      <c r="P42" s="34" t="n">
        <v>1</v>
      </c>
      <c r="Q42" s="37" t="n">
        <v>0</v>
      </c>
      <c r="R42" s="37" t="n">
        <v>0</v>
      </c>
      <c r="S42" s="37" t="n">
        <v>0</v>
      </c>
      <c r="T42" s="37" t="n">
        <v>0</v>
      </c>
      <c r="U42" s="37" t="n">
        <v>0</v>
      </c>
      <c r="V42" s="37" t="n">
        <v>0</v>
      </c>
      <c r="W42" s="37" t="n">
        <v>0</v>
      </c>
      <c r="X42" s="37" t="n">
        <v>0</v>
      </c>
      <c r="Y42" s="37" t="n">
        <v>0</v>
      </c>
      <c r="Z42" s="37" t="n">
        <f aca="false">SUM(Q42:Y42)</f>
        <v>0</v>
      </c>
      <c r="AA42" s="37" t="n">
        <v>0</v>
      </c>
      <c r="AB42" s="37" t="n">
        <v>0</v>
      </c>
      <c r="AC42" s="37" t="n">
        <v>0</v>
      </c>
      <c r="AD42" s="37" t="n">
        <v>6325.25</v>
      </c>
      <c r="AE42" s="37" t="n">
        <v>0</v>
      </c>
      <c r="AF42" s="37" t="n">
        <v>0</v>
      </c>
      <c r="AG42" s="37" t="n">
        <v>0</v>
      </c>
      <c r="AH42" s="37" t="n">
        <f aca="false">SUM(AA42:AG42)</f>
        <v>6325.25</v>
      </c>
      <c r="AI42" s="37" t="n">
        <f aca="false">Z42+AH42</f>
        <v>6325.25</v>
      </c>
      <c r="AJ42" s="37" t="n">
        <v>0</v>
      </c>
      <c r="AK42" s="37" t="n">
        <v>0</v>
      </c>
      <c r="AL42" s="37" t="n">
        <v>0</v>
      </c>
      <c r="AM42" s="37" t="n">
        <v>0</v>
      </c>
      <c r="AN42" s="37" t="n">
        <v>0</v>
      </c>
      <c r="AO42" s="37" t="n">
        <v>0</v>
      </c>
      <c r="AP42" s="37" t="n">
        <v>0</v>
      </c>
      <c r="AQ42" s="37" t="n">
        <f aca="false">SUM(AJ42:AP42)</f>
        <v>0</v>
      </c>
      <c r="AR42" s="37" t="n">
        <v>0</v>
      </c>
      <c r="AS42" s="37" t="n">
        <f aca="false">SUM(AR42:AR42)</f>
        <v>0</v>
      </c>
      <c r="AT42" s="37" t="n">
        <f aca="false">AI42-AQ42+AS42</f>
        <v>6325.25</v>
      </c>
      <c r="AU42" s="37" t="n">
        <v>6325.25</v>
      </c>
      <c r="AV42" s="37" t="n">
        <f aca="false">AU42-AT42</f>
        <v>0</v>
      </c>
    </row>
    <row r="43" customFormat="false" ht="15" hidden="false" customHeight="true" outlineLevel="0" collapsed="false">
      <c r="A43" s="34" t="s">
        <v>134</v>
      </c>
      <c r="B43" s="34" t="s">
        <v>135</v>
      </c>
      <c r="C43" s="35" t="s">
        <v>180</v>
      </c>
      <c r="D43" s="36" t="n">
        <v>45792.4882523148</v>
      </c>
      <c r="E43" s="35" t="s">
        <v>171</v>
      </c>
      <c r="F43" s="35" t="s">
        <v>172</v>
      </c>
      <c r="G43" s="35" t="s">
        <v>5</v>
      </c>
      <c r="H43" s="35" t="s">
        <v>3</v>
      </c>
      <c r="I43" s="34" t="s">
        <v>139</v>
      </c>
      <c r="J43" s="34"/>
      <c r="K43" s="34" t="s">
        <v>140</v>
      </c>
      <c r="L43" s="34" t="s">
        <v>141</v>
      </c>
      <c r="M43" s="36" t="n">
        <v>45792</v>
      </c>
      <c r="N43" s="36" t="n">
        <v>45778</v>
      </c>
      <c r="O43" s="36" t="n">
        <v>45792</v>
      </c>
      <c r="P43" s="34" t="n">
        <v>1</v>
      </c>
      <c r="Q43" s="37" t="n">
        <v>0</v>
      </c>
      <c r="R43" s="37" t="n">
        <v>0</v>
      </c>
      <c r="S43" s="37" t="n">
        <v>0</v>
      </c>
      <c r="T43" s="37" t="n">
        <v>0</v>
      </c>
      <c r="U43" s="37" t="n">
        <v>0</v>
      </c>
      <c r="V43" s="37" t="n">
        <v>0</v>
      </c>
      <c r="W43" s="37" t="n">
        <v>0</v>
      </c>
      <c r="X43" s="37" t="n">
        <v>0</v>
      </c>
      <c r="Y43" s="37" t="n">
        <v>0</v>
      </c>
      <c r="Z43" s="37" t="n">
        <f aca="false">SUM(Q43:Y43)</f>
        <v>0</v>
      </c>
      <c r="AA43" s="37" t="n">
        <v>0</v>
      </c>
      <c r="AB43" s="37" t="n">
        <v>0</v>
      </c>
      <c r="AC43" s="37" t="n">
        <v>0</v>
      </c>
      <c r="AD43" s="37" t="n">
        <v>6325.25</v>
      </c>
      <c r="AE43" s="37" t="n">
        <v>0</v>
      </c>
      <c r="AF43" s="37" t="n">
        <v>0</v>
      </c>
      <c r="AG43" s="37" t="n">
        <v>0</v>
      </c>
      <c r="AH43" s="37" t="n">
        <f aca="false">SUM(AA43:AG43)</f>
        <v>6325.25</v>
      </c>
      <c r="AI43" s="37" t="n">
        <f aca="false">Z43+AH43</f>
        <v>6325.25</v>
      </c>
      <c r="AJ43" s="37" t="n">
        <v>0</v>
      </c>
      <c r="AK43" s="37" t="n">
        <v>0</v>
      </c>
      <c r="AL43" s="37" t="n">
        <v>0</v>
      </c>
      <c r="AM43" s="37" t="n">
        <v>0</v>
      </c>
      <c r="AN43" s="37" t="n">
        <v>0</v>
      </c>
      <c r="AO43" s="37" t="n">
        <v>0</v>
      </c>
      <c r="AP43" s="37" t="n">
        <v>0</v>
      </c>
      <c r="AQ43" s="37" t="n">
        <f aca="false">SUM(AJ43:AP43)</f>
        <v>0</v>
      </c>
      <c r="AR43" s="37" t="n">
        <v>0</v>
      </c>
      <c r="AS43" s="37" t="n">
        <f aca="false">SUM(AR43:AR43)</f>
        <v>0</v>
      </c>
      <c r="AT43" s="37" t="n">
        <f aca="false">AI43-AQ43+AS43</f>
        <v>6325.25</v>
      </c>
      <c r="AU43" s="37" t="n">
        <v>6325.25</v>
      </c>
      <c r="AV43" s="37" t="n">
        <f aca="false">AU43-AT43</f>
        <v>0</v>
      </c>
    </row>
    <row r="44" customFormat="false" ht="15" hidden="false" customHeight="true" outlineLevel="0" collapsed="false">
      <c r="A44" s="34" t="s">
        <v>134</v>
      </c>
      <c r="B44" s="34" t="s">
        <v>135</v>
      </c>
      <c r="C44" s="35" t="s">
        <v>181</v>
      </c>
      <c r="D44" s="36" t="n">
        <v>45807.493287037</v>
      </c>
      <c r="E44" s="35" t="s">
        <v>171</v>
      </c>
      <c r="F44" s="35" t="s">
        <v>172</v>
      </c>
      <c r="G44" s="35" t="s">
        <v>5</v>
      </c>
      <c r="H44" s="35" t="s">
        <v>3</v>
      </c>
      <c r="I44" s="34" t="s">
        <v>143</v>
      </c>
      <c r="J44" s="34"/>
      <c r="K44" s="34" t="s">
        <v>140</v>
      </c>
      <c r="L44" s="34" t="s">
        <v>141</v>
      </c>
      <c r="M44" s="36" t="n">
        <v>45807</v>
      </c>
      <c r="N44" s="36" t="n">
        <v>45807</v>
      </c>
      <c r="O44" s="36" t="n">
        <v>45807</v>
      </c>
      <c r="P44" s="34" t="n">
        <v>1</v>
      </c>
      <c r="Q44" s="37" t="n">
        <v>0</v>
      </c>
      <c r="R44" s="37" t="n">
        <v>0</v>
      </c>
      <c r="S44" s="37" t="n">
        <v>0</v>
      </c>
      <c r="T44" s="37" t="n">
        <v>0</v>
      </c>
      <c r="U44" s="37" t="n">
        <v>0</v>
      </c>
      <c r="V44" s="37" t="n">
        <v>0</v>
      </c>
      <c r="W44" s="37" t="n">
        <v>0</v>
      </c>
      <c r="X44" s="37" t="n">
        <v>0</v>
      </c>
      <c r="Y44" s="37" t="n">
        <v>0</v>
      </c>
      <c r="Z44" s="37" t="n">
        <f aca="false">SUM(Q44:Y44)</f>
        <v>0</v>
      </c>
      <c r="AA44" s="37" t="n">
        <v>0</v>
      </c>
      <c r="AB44" s="37" t="n">
        <v>0</v>
      </c>
      <c r="AC44" s="37" t="n">
        <v>0</v>
      </c>
      <c r="AD44" s="37" t="n">
        <v>6325.25</v>
      </c>
      <c r="AE44" s="37" t="n">
        <v>0</v>
      </c>
      <c r="AF44" s="37" t="n">
        <v>0</v>
      </c>
      <c r="AG44" s="37" t="n">
        <v>0</v>
      </c>
      <c r="AH44" s="37" t="n">
        <f aca="false">SUM(AA44:AG44)</f>
        <v>6325.25</v>
      </c>
      <c r="AI44" s="37" t="n">
        <f aca="false">Z44+AH44</f>
        <v>6325.25</v>
      </c>
      <c r="AJ44" s="37" t="n">
        <v>0</v>
      </c>
      <c r="AK44" s="37" t="n">
        <v>0</v>
      </c>
      <c r="AL44" s="37" t="n">
        <v>0</v>
      </c>
      <c r="AM44" s="37" t="n">
        <v>0</v>
      </c>
      <c r="AN44" s="37" t="n">
        <v>0</v>
      </c>
      <c r="AO44" s="37" t="n">
        <v>0</v>
      </c>
      <c r="AP44" s="37" t="n">
        <v>0</v>
      </c>
      <c r="AQ44" s="37" t="n">
        <f aca="false">SUM(AJ44:AP44)</f>
        <v>0</v>
      </c>
      <c r="AR44" s="37" t="n">
        <v>0</v>
      </c>
      <c r="AS44" s="37" t="n">
        <f aca="false">SUM(AR44:AR44)</f>
        <v>0</v>
      </c>
      <c r="AT44" s="37" t="n">
        <f aca="false">AI44-AQ44+AS44</f>
        <v>6325.25</v>
      </c>
      <c r="AU44" s="37" t="n">
        <v>6325.25</v>
      </c>
      <c r="AV44" s="37" t="n">
        <f aca="false">AU44-AT44</f>
        <v>0</v>
      </c>
    </row>
    <row r="45" customFormat="false" ht="15" hidden="false" customHeight="true" outlineLevel="0" collapsed="false">
      <c r="A45" s="34" t="s">
        <v>134</v>
      </c>
      <c r="B45" s="34" t="s">
        <v>135</v>
      </c>
      <c r="C45" s="35" t="s">
        <v>182</v>
      </c>
      <c r="D45" s="36" t="n">
        <v>45821.5455787037</v>
      </c>
      <c r="E45" s="35" t="s">
        <v>171</v>
      </c>
      <c r="F45" s="35" t="s">
        <v>172</v>
      </c>
      <c r="G45" s="35" t="s">
        <v>5</v>
      </c>
      <c r="H45" s="35" t="s">
        <v>3</v>
      </c>
      <c r="I45" s="34" t="s">
        <v>143</v>
      </c>
      <c r="J45" s="34"/>
      <c r="K45" s="34" t="s">
        <v>140</v>
      </c>
      <c r="L45" s="34" t="s">
        <v>141</v>
      </c>
      <c r="M45" s="36" t="n">
        <v>45821</v>
      </c>
      <c r="N45" s="36" t="n">
        <v>45821</v>
      </c>
      <c r="O45" s="36" t="n">
        <v>45821</v>
      </c>
      <c r="P45" s="34" t="n">
        <v>1</v>
      </c>
      <c r="Q45" s="37" t="n">
        <v>0</v>
      </c>
      <c r="R45" s="37" t="n">
        <v>0</v>
      </c>
      <c r="S45" s="37" t="n">
        <v>0</v>
      </c>
      <c r="T45" s="37" t="n">
        <v>0</v>
      </c>
      <c r="U45" s="37" t="n">
        <v>0</v>
      </c>
      <c r="V45" s="37" t="n">
        <v>0</v>
      </c>
      <c r="W45" s="37" t="n">
        <v>0</v>
      </c>
      <c r="X45" s="37" t="n">
        <v>0</v>
      </c>
      <c r="Y45" s="37" t="n">
        <v>0</v>
      </c>
      <c r="Z45" s="37" t="n">
        <f aca="false">SUM(Q45:Y45)</f>
        <v>0</v>
      </c>
      <c r="AA45" s="37" t="n">
        <v>0</v>
      </c>
      <c r="AB45" s="37" t="n">
        <v>0</v>
      </c>
      <c r="AC45" s="37" t="n">
        <v>0</v>
      </c>
      <c r="AD45" s="37" t="n">
        <v>6325.25</v>
      </c>
      <c r="AE45" s="37" t="n">
        <v>0</v>
      </c>
      <c r="AF45" s="37" t="n">
        <v>0</v>
      </c>
      <c r="AG45" s="37" t="n">
        <v>0</v>
      </c>
      <c r="AH45" s="37" t="n">
        <f aca="false">SUM(AA45:AG45)</f>
        <v>6325.25</v>
      </c>
      <c r="AI45" s="37" t="n">
        <f aca="false">Z45+AH45</f>
        <v>6325.25</v>
      </c>
      <c r="AJ45" s="37" t="n">
        <v>0</v>
      </c>
      <c r="AK45" s="37" t="n">
        <v>0</v>
      </c>
      <c r="AL45" s="37" t="n">
        <v>0</v>
      </c>
      <c r="AM45" s="37" t="n">
        <v>0</v>
      </c>
      <c r="AN45" s="37" t="n">
        <v>0</v>
      </c>
      <c r="AO45" s="37" t="n">
        <v>0</v>
      </c>
      <c r="AP45" s="37" t="n">
        <v>0</v>
      </c>
      <c r="AQ45" s="37" t="n">
        <f aca="false">SUM(AJ45:AP45)</f>
        <v>0</v>
      </c>
      <c r="AR45" s="37" t="n">
        <v>0</v>
      </c>
      <c r="AS45" s="37" t="n">
        <f aca="false">SUM(AR45:AR45)</f>
        <v>0</v>
      </c>
      <c r="AT45" s="37" t="n">
        <f aca="false">AI45-AQ45+AS45</f>
        <v>6325.25</v>
      </c>
      <c r="AU45" s="37" t="n">
        <v>6325.25</v>
      </c>
      <c r="AV45" s="37" t="n">
        <f aca="false">AU45-AT45</f>
        <v>0</v>
      </c>
    </row>
    <row r="46" customFormat="false" ht="15" hidden="false" customHeight="true" outlineLevel="0" collapsed="false">
      <c r="A46" s="34" t="s">
        <v>134</v>
      </c>
      <c r="B46" s="34" t="s">
        <v>135</v>
      </c>
      <c r="C46" s="35" t="s">
        <v>183</v>
      </c>
      <c r="D46" s="36" t="n">
        <v>45835.7052083333</v>
      </c>
      <c r="E46" s="35" t="s">
        <v>171</v>
      </c>
      <c r="F46" s="35" t="s">
        <v>172</v>
      </c>
      <c r="G46" s="35" t="s">
        <v>5</v>
      </c>
      <c r="H46" s="35" t="s">
        <v>3</v>
      </c>
      <c r="I46" s="34" t="s">
        <v>143</v>
      </c>
      <c r="J46" s="34"/>
      <c r="K46" s="34" t="s">
        <v>140</v>
      </c>
      <c r="L46" s="34" t="s">
        <v>141</v>
      </c>
      <c r="M46" s="36" t="n">
        <v>45835</v>
      </c>
      <c r="N46" s="36" t="n">
        <v>45824</v>
      </c>
      <c r="O46" s="36" t="n">
        <v>45838</v>
      </c>
      <c r="P46" s="34" t="n">
        <v>1</v>
      </c>
      <c r="Q46" s="37" t="n">
        <v>0</v>
      </c>
      <c r="R46" s="37" t="n">
        <v>0</v>
      </c>
      <c r="S46" s="37" t="n">
        <v>0</v>
      </c>
      <c r="T46" s="37" t="n">
        <v>0</v>
      </c>
      <c r="U46" s="37" t="n">
        <v>0</v>
      </c>
      <c r="V46" s="37" t="n">
        <v>0</v>
      </c>
      <c r="W46" s="37" t="n">
        <v>0</v>
      </c>
      <c r="X46" s="37" t="n">
        <v>0</v>
      </c>
      <c r="Y46" s="37" t="n">
        <v>0</v>
      </c>
      <c r="Z46" s="37" t="n">
        <f aca="false">SUM(Q46:Y46)</f>
        <v>0</v>
      </c>
      <c r="AA46" s="37" t="n">
        <v>0</v>
      </c>
      <c r="AB46" s="37" t="n">
        <v>0</v>
      </c>
      <c r="AC46" s="37" t="n">
        <v>0</v>
      </c>
      <c r="AD46" s="37" t="n">
        <v>6325.25</v>
      </c>
      <c r="AE46" s="37" t="n">
        <v>0</v>
      </c>
      <c r="AF46" s="37" t="n">
        <v>0</v>
      </c>
      <c r="AG46" s="37" t="n">
        <v>0</v>
      </c>
      <c r="AH46" s="37" t="n">
        <f aca="false">SUM(AA46:AG46)</f>
        <v>6325.25</v>
      </c>
      <c r="AI46" s="37" t="n">
        <f aca="false">Z46+AH46</f>
        <v>6325.25</v>
      </c>
      <c r="AJ46" s="37" t="n">
        <v>0</v>
      </c>
      <c r="AK46" s="37" t="n">
        <v>0</v>
      </c>
      <c r="AL46" s="37" t="n">
        <v>0</v>
      </c>
      <c r="AM46" s="37" t="n">
        <v>0</v>
      </c>
      <c r="AN46" s="37" t="n">
        <v>0</v>
      </c>
      <c r="AO46" s="37" t="n">
        <v>0</v>
      </c>
      <c r="AP46" s="37" t="n">
        <v>0</v>
      </c>
      <c r="AQ46" s="37" t="n">
        <f aca="false">SUM(AJ46:AP46)</f>
        <v>0</v>
      </c>
      <c r="AR46" s="37" t="n">
        <v>0</v>
      </c>
      <c r="AS46" s="37" t="n">
        <f aca="false">SUM(AR46:AR46)</f>
        <v>0</v>
      </c>
      <c r="AT46" s="37" t="n">
        <f aca="false">AI46-AQ46+AS46</f>
        <v>6325.25</v>
      </c>
      <c r="AU46" s="37" t="n">
        <v>6325.25</v>
      </c>
      <c r="AV46" s="37" t="n">
        <f aca="false">AU46-AT46</f>
        <v>0</v>
      </c>
    </row>
    <row r="47" customFormat="false" ht="15" hidden="false" customHeight="true" outlineLevel="0" collapsed="false">
      <c r="A47" s="34" t="s">
        <v>134</v>
      </c>
      <c r="B47" s="34" t="s">
        <v>135</v>
      </c>
      <c r="C47" s="35" t="s">
        <v>184</v>
      </c>
      <c r="D47" s="36" t="n">
        <v>45853.4163425926</v>
      </c>
      <c r="E47" s="35" t="s">
        <v>171</v>
      </c>
      <c r="F47" s="35" t="s">
        <v>172</v>
      </c>
      <c r="G47" s="35" t="s">
        <v>5</v>
      </c>
      <c r="H47" s="35" t="s">
        <v>3</v>
      </c>
      <c r="I47" s="34" t="s">
        <v>143</v>
      </c>
      <c r="J47" s="34"/>
      <c r="K47" s="34" t="s">
        <v>140</v>
      </c>
      <c r="L47" s="34" t="s">
        <v>141</v>
      </c>
      <c r="M47" s="36" t="n">
        <v>45852</v>
      </c>
      <c r="N47" s="36" t="n">
        <v>45839</v>
      </c>
      <c r="O47" s="36" t="n">
        <v>45853</v>
      </c>
      <c r="P47" s="34" t="n">
        <v>1</v>
      </c>
      <c r="Q47" s="37" t="n">
        <v>0</v>
      </c>
      <c r="R47" s="37" t="n">
        <v>0</v>
      </c>
      <c r="S47" s="37" t="n">
        <v>0</v>
      </c>
      <c r="T47" s="37" t="n">
        <v>0</v>
      </c>
      <c r="U47" s="37" t="n">
        <v>0</v>
      </c>
      <c r="V47" s="37" t="n">
        <v>0</v>
      </c>
      <c r="W47" s="37" t="n">
        <v>0</v>
      </c>
      <c r="X47" s="37" t="n">
        <v>0</v>
      </c>
      <c r="Y47" s="37" t="n">
        <v>0</v>
      </c>
      <c r="Z47" s="37" t="n">
        <f aca="false">SUM(Q47:Y47)</f>
        <v>0</v>
      </c>
      <c r="AA47" s="37" t="n">
        <v>0</v>
      </c>
      <c r="AB47" s="37" t="n">
        <v>0</v>
      </c>
      <c r="AC47" s="37" t="n">
        <v>0</v>
      </c>
      <c r="AD47" s="37" t="n">
        <v>6325.25</v>
      </c>
      <c r="AE47" s="37" t="n">
        <v>0</v>
      </c>
      <c r="AF47" s="37" t="n">
        <v>0</v>
      </c>
      <c r="AG47" s="37" t="n">
        <v>0</v>
      </c>
      <c r="AH47" s="37" t="n">
        <f aca="false">SUM(AA47:AG47)</f>
        <v>6325.25</v>
      </c>
      <c r="AI47" s="37" t="n">
        <f aca="false">Z47+AH47</f>
        <v>6325.25</v>
      </c>
      <c r="AJ47" s="37" t="n">
        <v>0</v>
      </c>
      <c r="AK47" s="37" t="n">
        <v>0</v>
      </c>
      <c r="AL47" s="37" t="n">
        <v>0</v>
      </c>
      <c r="AM47" s="37" t="n">
        <v>0</v>
      </c>
      <c r="AN47" s="37" t="n">
        <v>0</v>
      </c>
      <c r="AO47" s="37" t="n">
        <v>0</v>
      </c>
      <c r="AP47" s="37" t="n">
        <v>0</v>
      </c>
      <c r="AQ47" s="37" t="n">
        <f aca="false">SUM(AJ47:AP47)</f>
        <v>0</v>
      </c>
      <c r="AR47" s="37" t="n">
        <v>0</v>
      </c>
      <c r="AS47" s="37" t="n">
        <f aca="false">SUM(AR47:AR47)</f>
        <v>0</v>
      </c>
      <c r="AT47" s="37" t="n">
        <f aca="false">AI47-AQ47+AS47</f>
        <v>6325.25</v>
      </c>
      <c r="AU47" s="37" t="n">
        <v>6325.25</v>
      </c>
      <c r="AV47" s="37" t="n">
        <f aca="false">AU47-AT47</f>
        <v>0</v>
      </c>
    </row>
    <row r="48" customFormat="false" ht="15" hidden="false" customHeight="true" outlineLevel="0" collapsed="false">
      <c r="A48" s="34" t="s">
        <v>134</v>
      </c>
      <c r="B48" s="34" t="s">
        <v>135</v>
      </c>
      <c r="C48" s="35" t="s">
        <v>185</v>
      </c>
      <c r="D48" s="36" t="n">
        <v>45869.663587963</v>
      </c>
      <c r="E48" s="35" t="s">
        <v>171</v>
      </c>
      <c r="F48" s="35" t="s">
        <v>172</v>
      </c>
      <c r="G48" s="35" t="s">
        <v>5</v>
      </c>
      <c r="H48" s="35" t="s">
        <v>3</v>
      </c>
      <c r="I48" s="34" t="s">
        <v>143</v>
      </c>
      <c r="J48" s="34"/>
      <c r="K48" s="34" t="s">
        <v>140</v>
      </c>
      <c r="L48" s="34" t="s">
        <v>141</v>
      </c>
      <c r="M48" s="36" t="n">
        <v>45869</v>
      </c>
      <c r="N48" s="36" t="n">
        <v>45854</v>
      </c>
      <c r="O48" s="36" t="n">
        <v>45869</v>
      </c>
      <c r="P48" s="34" t="n">
        <v>1</v>
      </c>
      <c r="Q48" s="37" t="n">
        <v>0</v>
      </c>
      <c r="R48" s="37" t="n">
        <v>0</v>
      </c>
      <c r="S48" s="37" t="n">
        <v>0</v>
      </c>
      <c r="T48" s="37" t="n">
        <v>0</v>
      </c>
      <c r="U48" s="37" t="n">
        <v>0</v>
      </c>
      <c r="V48" s="37" t="n">
        <v>0</v>
      </c>
      <c r="W48" s="37" t="n">
        <v>0</v>
      </c>
      <c r="X48" s="37" t="n">
        <v>0</v>
      </c>
      <c r="Y48" s="37" t="n">
        <v>0</v>
      </c>
      <c r="Z48" s="37" t="n">
        <f aca="false">SUM(Q48:Y48)</f>
        <v>0</v>
      </c>
      <c r="AA48" s="37" t="n">
        <v>0</v>
      </c>
      <c r="AB48" s="37" t="n">
        <v>0</v>
      </c>
      <c r="AC48" s="37" t="n">
        <v>0</v>
      </c>
      <c r="AD48" s="37" t="n">
        <v>6325.25</v>
      </c>
      <c r="AE48" s="37" t="n">
        <v>0</v>
      </c>
      <c r="AF48" s="37" t="n">
        <v>0</v>
      </c>
      <c r="AG48" s="37" t="n">
        <v>0</v>
      </c>
      <c r="AH48" s="37" t="n">
        <f aca="false">SUM(AA48:AG48)</f>
        <v>6325.25</v>
      </c>
      <c r="AI48" s="37" t="n">
        <f aca="false">Z48+AH48</f>
        <v>6325.25</v>
      </c>
      <c r="AJ48" s="37" t="n">
        <v>0</v>
      </c>
      <c r="AK48" s="37" t="n">
        <v>0</v>
      </c>
      <c r="AL48" s="37" t="n">
        <v>0</v>
      </c>
      <c r="AM48" s="37" t="n">
        <v>0</v>
      </c>
      <c r="AN48" s="37" t="n">
        <v>0</v>
      </c>
      <c r="AO48" s="37" t="n">
        <v>0</v>
      </c>
      <c r="AP48" s="37" t="n">
        <v>0</v>
      </c>
      <c r="AQ48" s="37" t="n">
        <f aca="false">SUM(AJ48:AP48)</f>
        <v>0</v>
      </c>
      <c r="AR48" s="37" t="n">
        <v>0</v>
      </c>
      <c r="AS48" s="37" t="n">
        <f aca="false">SUM(AR48:AR48)</f>
        <v>0</v>
      </c>
      <c r="AT48" s="37" t="n">
        <f aca="false">AI48-AQ48+AS48</f>
        <v>6325.25</v>
      </c>
      <c r="AU48" s="37" t="n">
        <v>6325.25</v>
      </c>
      <c r="AV48" s="37" t="n">
        <f aca="false">AU48-AT48</f>
        <v>0</v>
      </c>
    </row>
    <row r="49" customFormat="false" ht="15" hidden="false" customHeight="true" outlineLevel="0" collapsed="false">
      <c r="A49" s="34" t="s">
        <v>134</v>
      </c>
      <c r="B49" s="34" t="s">
        <v>135</v>
      </c>
      <c r="C49" s="35" t="s">
        <v>186</v>
      </c>
      <c r="D49" s="36" t="n">
        <v>45884.4336342593</v>
      </c>
      <c r="E49" s="35" t="s">
        <v>171</v>
      </c>
      <c r="F49" s="35" t="s">
        <v>172</v>
      </c>
      <c r="G49" s="35" t="s">
        <v>5</v>
      </c>
      <c r="H49" s="35" t="s">
        <v>3</v>
      </c>
      <c r="I49" s="34" t="s">
        <v>143</v>
      </c>
      <c r="J49" s="34"/>
      <c r="K49" s="34" t="s">
        <v>140</v>
      </c>
      <c r="L49" s="34" t="s">
        <v>141</v>
      </c>
      <c r="M49" s="36" t="n">
        <v>45883</v>
      </c>
      <c r="N49" s="36" t="n">
        <v>45870</v>
      </c>
      <c r="O49" s="36" t="n">
        <v>45884</v>
      </c>
      <c r="P49" s="34" t="n">
        <v>1</v>
      </c>
      <c r="Q49" s="37" t="n">
        <v>0</v>
      </c>
      <c r="R49" s="37" t="n">
        <v>0</v>
      </c>
      <c r="S49" s="37" t="n">
        <v>0</v>
      </c>
      <c r="T49" s="37" t="n">
        <v>0</v>
      </c>
      <c r="U49" s="37" t="n">
        <v>0</v>
      </c>
      <c r="V49" s="37" t="n">
        <v>0</v>
      </c>
      <c r="W49" s="37" t="n">
        <v>0</v>
      </c>
      <c r="X49" s="37" t="n">
        <v>0</v>
      </c>
      <c r="Y49" s="37" t="n">
        <v>0</v>
      </c>
      <c r="Z49" s="37" t="n">
        <f aca="false">SUM(Q49:Y49)</f>
        <v>0</v>
      </c>
      <c r="AA49" s="37" t="n">
        <v>0</v>
      </c>
      <c r="AB49" s="37" t="n">
        <v>0</v>
      </c>
      <c r="AC49" s="37" t="n">
        <v>0</v>
      </c>
      <c r="AD49" s="37" t="n">
        <v>6325.25</v>
      </c>
      <c r="AE49" s="37" t="n">
        <v>0</v>
      </c>
      <c r="AF49" s="37" t="n">
        <v>0</v>
      </c>
      <c r="AG49" s="37" t="n">
        <v>0</v>
      </c>
      <c r="AH49" s="37" t="n">
        <f aca="false">SUM(AA49:AG49)</f>
        <v>6325.25</v>
      </c>
      <c r="AI49" s="37" t="n">
        <f aca="false">Z49+AH49</f>
        <v>6325.25</v>
      </c>
      <c r="AJ49" s="37" t="n">
        <v>0</v>
      </c>
      <c r="AK49" s="37" t="n">
        <v>0</v>
      </c>
      <c r="AL49" s="37" t="n">
        <v>0</v>
      </c>
      <c r="AM49" s="37" t="n">
        <v>0</v>
      </c>
      <c r="AN49" s="37" t="n">
        <v>0</v>
      </c>
      <c r="AO49" s="37" t="n">
        <v>0</v>
      </c>
      <c r="AP49" s="37" t="n">
        <v>0</v>
      </c>
      <c r="AQ49" s="37" t="n">
        <f aca="false">SUM(AJ49:AP49)</f>
        <v>0</v>
      </c>
      <c r="AR49" s="37" t="n">
        <v>0</v>
      </c>
      <c r="AS49" s="37" t="n">
        <f aca="false">SUM(AR49:AR49)</f>
        <v>0</v>
      </c>
      <c r="AT49" s="37" t="n">
        <f aca="false">AI49-AQ49+AS49</f>
        <v>6325.25</v>
      </c>
      <c r="AU49" s="37" t="n">
        <v>6325.25</v>
      </c>
      <c r="AV49" s="37" t="n">
        <f aca="false">AU49-AT49</f>
        <v>0</v>
      </c>
    </row>
    <row r="50" customFormat="false" ht="15" hidden="false" customHeight="true" outlineLevel="0" collapsed="false">
      <c r="A50" s="34" t="s">
        <v>134</v>
      </c>
      <c r="B50" s="34" t="s">
        <v>135</v>
      </c>
      <c r="C50" s="35" t="s">
        <v>187</v>
      </c>
      <c r="D50" s="36" t="n">
        <v>45898.4068402778</v>
      </c>
      <c r="E50" s="35" t="s">
        <v>171</v>
      </c>
      <c r="F50" s="35" t="s">
        <v>172</v>
      </c>
      <c r="G50" s="35" t="s">
        <v>5</v>
      </c>
      <c r="H50" s="35" t="s">
        <v>3</v>
      </c>
      <c r="I50" s="34" t="s">
        <v>143</v>
      </c>
      <c r="J50" s="34"/>
      <c r="K50" s="34" t="s">
        <v>140</v>
      </c>
      <c r="L50" s="34" t="s">
        <v>141</v>
      </c>
      <c r="M50" s="36" t="n">
        <v>45897</v>
      </c>
      <c r="N50" s="36" t="n">
        <v>45898</v>
      </c>
      <c r="O50" s="36" t="n">
        <v>45898</v>
      </c>
      <c r="P50" s="34" t="n">
        <v>1</v>
      </c>
      <c r="Q50" s="37" t="n">
        <v>0</v>
      </c>
      <c r="R50" s="37" t="n">
        <v>0</v>
      </c>
      <c r="S50" s="37" t="n">
        <v>0</v>
      </c>
      <c r="T50" s="37" t="n">
        <v>0</v>
      </c>
      <c r="U50" s="37" t="n">
        <v>0</v>
      </c>
      <c r="V50" s="37" t="n">
        <v>0</v>
      </c>
      <c r="W50" s="37" t="n">
        <v>0</v>
      </c>
      <c r="X50" s="37" t="n">
        <v>0</v>
      </c>
      <c r="Y50" s="37" t="n">
        <v>0</v>
      </c>
      <c r="Z50" s="37" t="n">
        <f aca="false">SUM(Q50:Y50)</f>
        <v>0</v>
      </c>
      <c r="AA50" s="37" t="n">
        <v>0</v>
      </c>
      <c r="AB50" s="37" t="n">
        <v>0</v>
      </c>
      <c r="AC50" s="37" t="n">
        <v>0</v>
      </c>
      <c r="AD50" s="37" t="n">
        <v>6325.25</v>
      </c>
      <c r="AE50" s="37" t="n">
        <v>0</v>
      </c>
      <c r="AF50" s="37" t="n">
        <v>0</v>
      </c>
      <c r="AG50" s="37" t="n">
        <v>0</v>
      </c>
      <c r="AH50" s="37" t="n">
        <f aca="false">SUM(AA50:AG50)</f>
        <v>6325.25</v>
      </c>
      <c r="AI50" s="37" t="n">
        <f aca="false">Z50+AH50</f>
        <v>6325.25</v>
      </c>
      <c r="AJ50" s="37" t="n">
        <v>0</v>
      </c>
      <c r="AK50" s="37" t="n">
        <v>0</v>
      </c>
      <c r="AL50" s="37" t="n">
        <v>0</v>
      </c>
      <c r="AM50" s="37" t="n">
        <v>0</v>
      </c>
      <c r="AN50" s="37" t="n">
        <v>0</v>
      </c>
      <c r="AO50" s="37" t="n">
        <v>0</v>
      </c>
      <c r="AP50" s="37" t="n">
        <v>0</v>
      </c>
      <c r="AQ50" s="37" t="n">
        <f aca="false">SUM(AJ50:AP50)</f>
        <v>0</v>
      </c>
      <c r="AR50" s="37" t="n">
        <v>0</v>
      </c>
      <c r="AS50" s="37" t="n">
        <f aca="false">SUM(AR50:AR50)</f>
        <v>0</v>
      </c>
      <c r="AT50" s="37" t="n">
        <f aca="false">AI50-AQ50+AS50</f>
        <v>6325.25</v>
      </c>
      <c r="AU50" s="37" t="n">
        <v>6325.25</v>
      </c>
      <c r="AV50" s="37" t="n">
        <f aca="false">AU50-AT50</f>
        <v>0</v>
      </c>
    </row>
    <row r="51" customFormat="false" ht="15" hidden="false" customHeight="true" outlineLevel="0" collapsed="false">
      <c r="A51" s="34" t="s">
        <v>134</v>
      </c>
      <c r="B51" s="34" t="s">
        <v>135</v>
      </c>
      <c r="C51" s="35" t="s">
        <v>188</v>
      </c>
      <c r="D51" s="36" t="n">
        <v>45912.7633912037</v>
      </c>
      <c r="E51" s="35" t="s">
        <v>171</v>
      </c>
      <c r="F51" s="35" t="s">
        <v>172</v>
      </c>
      <c r="G51" s="35" t="s">
        <v>5</v>
      </c>
      <c r="H51" s="35" t="s">
        <v>3</v>
      </c>
      <c r="I51" s="34" t="s">
        <v>143</v>
      </c>
      <c r="J51" s="34"/>
      <c r="K51" s="34" t="s">
        <v>140</v>
      </c>
      <c r="L51" s="34" t="s">
        <v>141</v>
      </c>
      <c r="M51" s="36" t="n">
        <v>45912</v>
      </c>
      <c r="N51" s="36" t="n">
        <v>45901</v>
      </c>
      <c r="O51" s="36" t="n">
        <v>45915</v>
      </c>
      <c r="P51" s="34" t="n">
        <v>1</v>
      </c>
      <c r="Q51" s="37" t="n">
        <v>0</v>
      </c>
      <c r="R51" s="37" t="n">
        <v>0</v>
      </c>
      <c r="S51" s="37" t="n">
        <v>0</v>
      </c>
      <c r="T51" s="37" t="n">
        <v>0</v>
      </c>
      <c r="U51" s="37" t="n">
        <v>0</v>
      </c>
      <c r="V51" s="37" t="n">
        <v>0</v>
      </c>
      <c r="W51" s="37" t="n">
        <v>0</v>
      </c>
      <c r="X51" s="37" t="n">
        <v>0</v>
      </c>
      <c r="Y51" s="37" t="n">
        <v>0</v>
      </c>
      <c r="Z51" s="37" t="n">
        <f aca="false">SUM(Q51:Y51)</f>
        <v>0</v>
      </c>
      <c r="AA51" s="37" t="n">
        <v>0</v>
      </c>
      <c r="AB51" s="37" t="n">
        <v>0</v>
      </c>
      <c r="AC51" s="37" t="n">
        <v>0</v>
      </c>
      <c r="AD51" s="37" t="n">
        <v>6325.25</v>
      </c>
      <c r="AE51" s="37" t="n">
        <v>0</v>
      </c>
      <c r="AF51" s="37" t="n">
        <v>0</v>
      </c>
      <c r="AG51" s="37" t="n">
        <v>0</v>
      </c>
      <c r="AH51" s="37" t="n">
        <f aca="false">SUM(AA51:AG51)</f>
        <v>6325.25</v>
      </c>
      <c r="AI51" s="37" t="n">
        <f aca="false">Z51+AH51</f>
        <v>6325.25</v>
      </c>
      <c r="AJ51" s="37" t="n">
        <v>0</v>
      </c>
      <c r="AK51" s="37" t="n">
        <v>0</v>
      </c>
      <c r="AL51" s="37" t="n">
        <v>0</v>
      </c>
      <c r="AM51" s="37" t="n">
        <v>0</v>
      </c>
      <c r="AN51" s="37" t="n">
        <v>0</v>
      </c>
      <c r="AO51" s="37" t="n">
        <v>0</v>
      </c>
      <c r="AP51" s="37" t="n">
        <v>0</v>
      </c>
      <c r="AQ51" s="37" t="n">
        <f aca="false">SUM(AJ51:AP51)</f>
        <v>0</v>
      </c>
      <c r="AR51" s="37" t="n">
        <v>0</v>
      </c>
      <c r="AS51" s="37" t="n">
        <f aca="false">SUM(AR51:AR51)</f>
        <v>0</v>
      </c>
      <c r="AT51" s="37" t="n">
        <f aca="false">AI51-AQ51+AS51</f>
        <v>6325.25</v>
      </c>
      <c r="AU51" s="37" t="n">
        <v>6325.25</v>
      </c>
      <c r="AV51" s="37" t="n">
        <f aca="false">AU51-AT51</f>
        <v>0</v>
      </c>
    </row>
    <row r="52" customFormat="false" ht="15" hidden="false" customHeight="true" outlineLevel="0" collapsed="false">
      <c r="A52" s="34" t="s">
        <v>134</v>
      </c>
      <c r="B52" s="34" t="s">
        <v>135</v>
      </c>
      <c r="C52" s="35" t="s">
        <v>189</v>
      </c>
      <c r="D52" s="36" t="n">
        <v>45930.4027314815</v>
      </c>
      <c r="E52" s="35" t="s">
        <v>171</v>
      </c>
      <c r="F52" s="35" t="s">
        <v>172</v>
      </c>
      <c r="G52" s="35" t="s">
        <v>5</v>
      </c>
      <c r="H52" s="35" t="s">
        <v>3</v>
      </c>
      <c r="I52" s="34" t="s">
        <v>143</v>
      </c>
      <c r="J52" s="34"/>
      <c r="K52" s="34" t="s">
        <v>140</v>
      </c>
      <c r="L52" s="34" t="s">
        <v>141</v>
      </c>
      <c r="M52" s="36" t="n">
        <v>45930</v>
      </c>
      <c r="N52" s="36" t="n">
        <v>45916</v>
      </c>
      <c r="O52" s="36" t="n">
        <v>45930</v>
      </c>
      <c r="P52" s="34" t="n">
        <v>1</v>
      </c>
      <c r="Q52" s="37" t="n">
        <v>0</v>
      </c>
      <c r="R52" s="37" t="n">
        <v>0</v>
      </c>
      <c r="S52" s="37" t="n">
        <v>0</v>
      </c>
      <c r="T52" s="37" t="n">
        <v>0</v>
      </c>
      <c r="U52" s="37" t="n">
        <v>0</v>
      </c>
      <c r="V52" s="37" t="n">
        <v>0</v>
      </c>
      <c r="W52" s="37" t="n">
        <v>0</v>
      </c>
      <c r="X52" s="37" t="n">
        <v>0</v>
      </c>
      <c r="Y52" s="37" t="n">
        <v>0</v>
      </c>
      <c r="Z52" s="37" t="n">
        <f aca="false">SUM(Q52:Y52)</f>
        <v>0</v>
      </c>
      <c r="AA52" s="37" t="n">
        <v>0</v>
      </c>
      <c r="AB52" s="37" t="n">
        <v>0</v>
      </c>
      <c r="AC52" s="37" t="n">
        <v>0</v>
      </c>
      <c r="AD52" s="37" t="n">
        <v>6325.25</v>
      </c>
      <c r="AE52" s="37" t="n">
        <v>0</v>
      </c>
      <c r="AF52" s="37" t="n">
        <v>0</v>
      </c>
      <c r="AG52" s="37" t="n">
        <v>0</v>
      </c>
      <c r="AH52" s="37" t="n">
        <f aca="false">SUM(AA52:AG52)</f>
        <v>6325.25</v>
      </c>
      <c r="AI52" s="37" t="n">
        <f aca="false">Z52+AH52</f>
        <v>6325.25</v>
      </c>
      <c r="AJ52" s="37" t="n">
        <v>0</v>
      </c>
      <c r="AK52" s="37" t="n">
        <v>0</v>
      </c>
      <c r="AL52" s="37" t="n">
        <v>0</v>
      </c>
      <c r="AM52" s="37" t="n">
        <v>0</v>
      </c>
      <c r="AN52" s="37" t="n">
        <v>0</v>
      </c>
      <c r="AO52" s="37" t="n">
        <v>0</v>
      </c>
      <c r="AP52" s="37" t="n">
        <v>0</v>
      </c>
      <c r="AQ52" s="37" t="n">
        <f aca="false">SUM(AJ52:AP52)</f>
        <v>0</v>
      </c>
      <c r="AR52" s="37" t="n">
        <v>0</v>
      </c>
      <c r="AS52" s="37" t="n">
        <f aca="false">SUM(AR52:AR52)</f>
        <v>0</v>
      </c>
      <c r="AT52" s="37" t="n">
        <f aca="false">AI52-AQ52+AS52</f>
        <v>6325.25</v>
      </c>
      <c r="AU52" s="37" t="n">
        <v>6325.25</v>
      </c>
      <c r="AV52" s="37" t="n">
        <f aca="false">AU52-AT52</f>
        <v>0</v>
      </c>
    </row>
    <row r="53" customFormat="false" ht="15" hidden="false" customHeight="true" outlineLevel="0" collapsed="false">
      <c r="A53" s="34" t="s">
        <v>134</v>
      </c>
      <c r="B53" s="34" t="s">
        <v>135</v>
      </c>
      <c r="C53" s="35" t="s">
        <v>190</v>
      </c>
      <c r="D53" s="36" t="n">
        <v>45945.3859375</v>
      </c>
      <c r="E53" s="35" t="s">
        <v>171</v>
      </c>
      <c r="F53" s="35" t="s">
        <v>172</v>
      </c>
      <c r="G53" s="35" t="s">
        <v>5</v>
      </c>
      <c r="H53" s="35" t="s">
        <v>3</v>
      </c>
      <c r="I53" s="34" t="s">
        <v>143</v>
      </c>
      <c r="J53" s="34"/>
      <c r="K53" s="34" t="s">
        <v>140</v>
      </c>
      <c r="L53" s="34" t="s">
        <v>141</v>
      </c>
      <c r="M53" s="36" t="n">
        <v>45945</v>
      </c>
      <c r="N53" s="36" t="n">
        <v>45931</v>
      </c>
      <c r="O53" s="36" t="n">
        <v>45945</v>
      </c>
      <c r="P53" s="34" t="n">
        <v>1</v>
      </c>
      <c r="Q53" s="37" t="n">
        <v>0</v>
      </c>
      <c r="R53" s="37" t="n">
        <v>0</v>
      </c>
      <c r="S53" s="37" t="n">
        <v>0</v>
      </c>
      <c r="T53" s="37" t="n">
        <v>0</v>
      </c>
      <c r="U53" s="37" t="n">
        <v>0</v>
      </c>
      <c r="V53" s="37" t="n">
        <v>0</v>
      </c>
      <c r="W53" s="37" t="n">
        <v>0</v>
      </c>
      <c r="X53" s="37" t="n">
        <v>0</v>
      </c>
      <c r="Y53" s="37" t="n">
        <v>0</v>
      </c>
      <c r="Z53" s="37" t="n">
        <f aca="false">SUM(Q53:Y53)</f>
        <v>0</v>
      </c>
      <c r="AA53" s="37" t="n">
        <v>0</v>
      </c>
      <c r="AB53" s="37" t="n">
        <v>0</v>
      </c>
      <c r="AC53" s="37" t="n">
        <v>0</v>
      </c>
      <c r="AD53" s="37" t="n">
        <v>6325.25</v>
      </c>
      <c r="AE53" s="37" t="n">
        <v>0</v>
      </c>
      <c r="AF53" s="37" t="n">
        <v>0</v>
      </c>
      <c r="AG53" s="37" t="n">
        <v>0</v>
      </c>
      <c r="AH53" s="37" t="n">
        <f aca="false">SUM(AA53:AG53)</f>
        <v>6325.25</v>
      </c>
      <c r="AI53" s="37" t="n">
        <f aca="false">Z53+AH53</f>
        <v>6325.25</v>
      </c>
      <c r="AJ53" s="37" t="n">
        <v>0</v>
      </c>
      <c r="AK53" s="37" t="n">
        <v>0</v>
      </c>
      <c r="AL53" s="37" t="n">
        <v>0</v>
      </c>
      <c r="AM53" s="37" t="n">
        <v>0</v>
      </c>
      <c r="AN53" s="37" t="n">
        <v>0</v>
      </c>
      <c r="AO53" s="37" t="n">
        <v>0</v>
      </c>
      <c r="AP53" s="37" t="n">
        <v>0</v>
      </c>
      <c r="AQ53" s="37" t="n">
        <f aca="false">SUM(AJ53:AP53)</f>
        <v>0</v>
      </c>
      <c r="AR53" s="37" t="n">
        <v>0</v>
      </c>
      <c r="AS53" s="37" t="n">
        <f aca="false">SUM(AR53:AR53)</f>
        <v>0</v>
      </c>
      <c r="AT53" s="37" t="n">
        <f aca="false">AI53-AQ53+AS53</f>
        <v>6325.25</v>
      </c>
      <c r="AU53" s="37" t="n">
        <v>6325.25</v>
      </c>
      <c r="AV53" s="37" t="n">
        <f aca="false">AU53-AT53</f>
        <v>0</v>
      </c>
    </row>
    <row r="54" customFormat="false" ht="15" hidden="false" customHeight="true" outlineLevel="0" collapsed="false">
      <c r="A54" s="34" t="s">
        <v>134</v>
      </c>
      <c r="B54" s="34" t="s">
        <v>135</v>
      </c>
      <c r="C54" s="35" t="s">
        <v>191</v>
      </c>
      <c r="D54" s="36" t="n">
        <v>45960.6509143519</v>
      </c>
      <c r="E54" s="35" t="s">
        <v>171</v>
      </c>
      <c r="F54" s="35" t="s">
        <v>172</v>
      </c>
      <c r="G54" s="35" t="s">
        <v>5</v>
      </c>
      <c r="H54" s="35" t="s">
        <v>3</v>
      </c>
      <c r="I54" s="34" t="s">
        <v>143</v>
      </c>
      <c r="J54" s="34"/>
      <c r="K54" s="34" t="s">
        <v>140</v>
      </c>
      <c r="L54" s="34" t="s">
        <v>141</v>
      </c>
      <c r="M54" s="36" t="n">
        <v>45960</v>
      </c>
      <c r="N54" s="36" t="n">
        <v>45946</v>
      </c>
      <c r="O54" s="36" t="n">
        <v>45961</v>
      </c>
      <c r="P54" s="34" t="n">
        <v>1</v>
      </c>
      <c r="Q54" s="37" t="n">
        <v>0</v>
      </c>
      <c r="R54" s="37" t="n">
        <v>0</v>
      </c>
      <c r="S54" s="37" t="n">
        <v>0</v>
      </c>
      <c r="T54" s="37" t="n">
        <v>0</v>
      </c>
      <c r="U54" s="37" t="n">
        <v>0</v>
      </c>
      <c r="V54" s="37" t="n">
        <v>0</v>
      </c>
      <c r="W54" s="37" t="n">
        <v>0</v>
      </c>
      <c r="X54" s="37" t="n">
        <v>0</v>
      </c>
      <c r="Y54" s="37" t="n">
        <v>0</v>
      </c>
      <c r="Z54" s="37" t="n">
        <f aca="false">SUM(Q54:Y54)</f>
        <v>0</v>
      </c>
      <c r="AA54" s="37" t="n">
        <v>0</v>
      </c>
      <c r="AB54" s="37" t="n">
        <v>0</v>
      </c>
      <c r="AC54" s="37" t="n">
        <v>0</v>
      </c>
      <c r="AD54" s="37" t="n">
        <v>6325.25</v>
      </c>
      <c r="AE54" s="37" t="n">
        <v>0</v>
      </c>
      <c r="AF54" s="37" t="n">
        <v>0</v>
      </c>
      <c r="AG54" s="37" t="n">
        <v>0</v>
      </c>
      <c r="AH54" s="37" t="n">
        <f aca="false">SUM(AA54:AG54)</f>
        <v>6325.25</v>
      </c>
      <c r="AI54" s="37" t="n">
        <f aca="false">Z54+AH54</f>
        <v>6325.25</v>
      </c>
      <c r="AJ54" s="37" t="n">
        <v>0</v>
      </c>
      <c r="AK54" s="37" t="n">
        <v>0</v>
      </c>
      <c r="AL54" s="37" t="n">
        <v>0</v>
      </c>
      <c r="AM54" s="37" t="n">
        <v>0</v>
      </c>
      <c r="AN54" s="37" t="n">
        <v>0</v>
      </c>
      <c r="AO54" s="37" t="n">
        <v>0</v>
      </c>
      <c r="AP54" s="37" t="n">
        <v>0</v>
      </c>
      <c r="AQ54" s="37" t="n">
        <f aca="false">SUM(AJ54:AP54)</f>
        <v>0</v>
      </c>
      <c r="AR54" s="37" t="n">
        <v>0</v>
      </c>
      <c r="AS54" s="37" t="n">
        <f aca="false">SUM(AR54:AR54)</f>
        <v>0</v>
      </c>
      <c r="AT54" s="37" t="n">
        <f aca="false">AI54-AQ54+AS54</f>
        <v>6325.25</v>
      </c>
      <c r="AU54" s="37" t="n">
        <v>6325.25</v>
      </c>
      <c r="AV54" s="37" t="n">
        <f aca="false">AU54-AT54</f>
        <v>0</v>
      </c>
    </row>
    <row r="55" customFormat="false" ht="15" hidden="false" customHeight="true" outlineLevel="0" collapsed="false">
      <c r="A55" s="34" t="s">
        <v>134</v>
      </c>
      <c r="B55" s="34" t="s">
        <v>135</v>
      </c>
      <c r="C55" s="35" t="s">
        <v>192</v>
      </c>
      <c r="D55" s="36" t="n">
        <v>45975.4170717593</v>
      </c>
      <c r="E55" s="35" t="s">
        <v>171</v>
      </c>
      <c r="F55" s="35" t="s">
        <v>172</v>
      </c>
      <c r="G55" s="35" t="s">
        <v>5</v>
      </c>
      <c r="H55" s="35" t="s">
        <v>3</v>
      </c>
      <c r="I55" s="34" t="s">
        <v>143</v>
      </c>
      <c r="J55" s="34"/>
      <c r="K55" s="34" t="s">
        <v>140</v>
      </c>
      <c r="L55" s="34" t="s">
        <v>141</v>
      </c>
      <c r="M55" s="36" t="n">
        <v>45974</v>
      </c>
      <c r="N55" s="36" t="n">
        <v>45962</v>
      </c>
      <c r="O55" s="36" t="n">
        <v>45976</v>
      </c>
      <c r="P55" s="34" t="n">
        <v>1</v>
      </c>
      <c r="Q55" s="37" t="n">
        <v>0</v>
      </c>
      <c r="R55" s="37" t="n">
        <v>0</v>
      </c>
      <c r="S55" s="37" t="n">
        <v>0</v>
      </c>
      <c r="T55" s="37" t="n">
        <v>0</v>
      </c>
      <c r="U55" s="37" t="n">
        <v>0</v>
      </c>
      <c r="V55" s="37" t="n">
        <v>0</v>
      </c>
      <c r="W55" s="37" t="n">
        <v>0</v>
      </c>
      <c r="X55" s="37" t="n">
        <v>0</v>
      </c>
      <c r="Y55" s="37" t="n">
        <v>0</v>
      </c>
      <c r="Z55" s="37" t="n">
        <f aca="false">SUM(Q55:Y55)</f>
        <v>0</v>
      </c>
      <c r="AA55" s="37" t="n">
        <v>0</v>
      </c>
      <c r="AB55" s="37" t="n">
        <v>0</v>
      </c>
      <c r="AC55" s="37" t="n">
        <v>0</v>
      </c>
      <c r="AD55" s="37" t="n">
        <v>6325.25</v>
      </c>
      <c r="AE55" s="37" t="n">
        <v>0</v>
      </c>
      <c r="AF55" s="37" t="n">
        <v>0</v>
      </c>
      <c r="AG55" s="37" t="n">
        <v>0</v>
      </c>
      <c r="AH55" s="37" t="n">
        <f aca="false">SUM(AA55:AG55)</f>
        <v>6325.25</v>
      </c>
      <c r="AI55" s="37" t="n">
        <f aca="false">Z55+AH55</f>
        <v>6325.25</v>
      </c>
      <c r="AJ55" s="37" t="n">
        <v>0</v>
      </c>
      <c r="AK55" s="37" t="n">
        <v>0</v>
      </c>
      <c r="AL55" s="37" t="n">
        <v>0</v>
      </c>
      <c r="AM55" s="37" t="n">
        <v>0</v>
      </c>
      <c r="AN55" s="37" t="n">
        <v>0</v>
      </c>
      <c r="AO55" s="37" t="n">
        <v>0</v>
      </c>
      <c r="AP55" s="37" t="n">
        <v>0</v>
      </c>
      <c r="AQ55" s="37" t="n">
        <f aca="false">SUM(AJ55:AP55)</f>
        <v>0</v>
      </c>
      <c r="AR55" s="37" t="n">
        <v>0</v>
      </c>
      <c r="AS55" s="37" t="n">
        <f aca="false">SUM(AR55:AR55)</f>
        <v>0</v>
      </c>
      <c r="AT55" s="37" t="n">
        <f aca="false">AI55-AQ55+AS55</f>
        <v>6325.25</v>
      </c>
      <c r="AU55" s="37" t="n">
        <v>6325.25</v>
      </c>
      <c r="AV55" s="37" t="n">
        <f aca="false">AU55-AT55</f>
        <v>0</v>
      </c>
    </row>
    <row r="56" customFormat="false" ht="15" hidden="false" customHeight="true" outlineLevel="0" collapsed="false">
      <c r="A56" s="34" t="s">
        <v>134</v>
      </c>
      <c r="B56" s="34" t="s">
        <v>135</v>
      </c>
      <c r="C56" s="35" t="s">
        <v>193</v>
      </c>
      <c r="D56" s="36" t="n">
        <v>45989.4440509259</v>
      </c>
      <c r="E56" s="35" t="s">
        <v>171</v>
      </c>
      <c r="F56" s="35" t="s">
        <v>172</v>
      </c>
      <c r="G56" s="35" t="s">
        <v>5</v>
      </c>
      <c r="H56" s="35" t="s">
        <v>3</v>
      </c>
      <c r="I56" s="34" t="s">
        <v>143</v>
      </c>
      <c r="J56" s="34"/>
      <c r="K56" s="34" t="s">
        <v>140</v>
      </c>
      <c r="L56" s="34" t="s">
        <v>141</v>
      </c>
      <c r="M56" s="36" t="n">
        <v>45989</v>
      </c>
      <c r="N56" s="36" t="n">
        <v>45977</v>
      </c>
      <c r="O56" s="36" t="n">
        <v>45991</v>
      </c>
      <c r="P56" s="34" t="n">
        <v>1</v>
      </c>
      <c r="Q56" s="37" t="n">
        <v>0</v>
      </c>
      <c r="R56" s="37" t="n">
        <v>0</v>
      </c>
      <c r="S56" s="37" t="n">
        <v>0</v>
      </c>
      <c r="T56" s="37" t="n">
        <v>0</v>
      </c>
      <c r="U56" s="37" t="n">
        <v>0</v>
      </c>
      <c r="V56" s="37" t="n">
        <v>0</v>
      </c>
      <c r="W56" s="37" t="n">
        <v>0</v>
      </c>
      <c r="X56" s="37" t="n">
        <v>0</v>
      </c>
      <c r="Y56" s="37" t="n">
        <v>0</v>
      </c>
      <c r="Z56" s="37" t="n">
        <f aca="false">SUM(Q56:Y56)</f>
        <v>0</v>
      </c>
      <c r="AA56" s="37" t="n">
        <v>0</v>
      </c>
      <c r="AB56" s="37" t="n">
        <v>0</v>
      </c>
      <c r="AC56" s="37" t="n">
        <v>0</v>
      </c>
      <c r="AD56" s="37" t="n">
        <v>6325.25</v>
      </c>
      <c r="AE56" s="37" t="n">
        <v>0</v>
      </c>
      <c r="AF56" s="37" t="n">
        <v>0</v>
      </c>
      <c r="AG56" s="37" t="n">
        <v>0</v>
      </c>
      <c r="AH56" s="37" t="n">
        <f aca="false">SUM(AA56:AG56)</f>
        <v>6325.25</v>
      </c>
      <c r="AI56" s="37" t="n">
        <f aca="false">Z56+AH56</f>
        <v>6325.25</v>
      </c>
      <c r="AJ56" s="37" t="n">
        <v>0</v>
      </c>
      <c r="AK56" s="37" t="n">
        <v>0</v>
      </c>
      <c r="AL56" s="37" t="n">
        <v>0</v>
      </c>
      <c r="AM56" s="37" t="n">
        <v>0</v>
      </c>
      <c r="AN56" s="37" t="n">
        <v>0</v>
      </c>
      <c r="AO56" s="37" t="n">
        <v>0</v>
      </c>
      <c r="AP56" s="37" t="n">
        <v>0</v>
      </c>
      <c r="AQ56" s="37" t="n">
        <f aca="false">SUM(AJ56:AP56)</f>
        <v>0</v>
      </c>
      <c r="AR56" s="37" t="n">
        <v>0</v>
      </c>
      <c r="AS56" s="37" t="n">
        <f aca="false">SUM(AR56:AR56)</f>
        <v>0</v>
      </c>
      <c r="AT56" s="37" t="n">
        <f aca="false">AI56-AQ56+AS56</f>
        <v>6325.25</v>
      </c>
      <c r="AU56" s="37" t="n">
        <v>6325.25</v>
      </c>
      <c r="AV56" s="37" t="n">
        <f aca="false">AU56-AT56</f>
        <v>0</v>
      </c>
    </row>
    <row r="57" customFormat="false" ht="15" hidden="false" customHeight="true" outlineLevel="0" collapsed="false">
      <c r="A57" s="34" t="s">
        <v>134</v>
      </c>
      <c r="B57" s="34" t="s">
        <v>135</v>
      </c>
      <c r="C57" s="35" t="s">
        <v>194</v>
      </c>
      <c r="D57" s="36" t="n">
        <v>46003.4037847222</v>
      </c>
      <c r="E57" s="35" t="s">
        <v>171</v>
      </c>
      <c r="F57" s="35" t="s">
        <v>172</v>
      </c>
      <c r="G57" s="35" t="s">
        <v>5</v>
      </c>
      <c r="H57" s="35" t="s">
        <v>3</v>
      </c>
      <c r="I57" s="34" t="s">
        <v>143</v>
      </c>
      <c r="J57" s="34"/>
      <c r="K57" s="34" t="s">
        <v>140</v>
      </c>
      <c r="L57" s="34" t="s">
        <v>141</v>
      </c>
      <c r="M57" s="36" t="n">
        <v>45996</v>
      </c>
      <c r="N57" s="36" t="n">
        <v>45992</v>
      </c>
      <c r="O57" s="36" t="n">
        <v>46006</v>
      </c>
      <c r="P57" s="34" t="n">
        <v>1</v>
      </c>
      <c r="Q57" s="37" t="n">
        <v>0</v>
      </c>
      <c r="R57" s="37" t="n">
        <v>0</v>
      </c>
      <c r="S57" s="37" t="n">
        <v>0</v>
      </c>
      <c r="T57" s="37" t="n">
        <v>0</v>
      </c>
      <c r="U57" s="37" t="n">
        <v>0</v>
      </c>
      <c r="V57" s="37" t="n">
        <v>0</v>
      </c>
      <c r="W57" s="37" t="n">
        <v>0</v>
      </c>
      <c r="X57" s="37" t="n">
        <v>0</v>
      </c>
      <c r="Y57" s="37" t="n">
        <v>0</v>
      </c>
      <c r="Z57" s="37" t="n">
        <f aca="false">SUM(Q57:Y57)</f>
        <v>0</v>
      </c>
      <c r="AA57" s="37" t="n">
        <v>0</v>
      </c>
      <c r="AB57" s="37" t="n">
        <v>0</v>
      </c>
      <c r="AC57" s="37" t="n">
        <v>0</v>
      </c>
      <c r="AD57" s="37" t="n">
        <v>6325.25</v>
      </c>
      <c r="AE57" s="37" t="n">
        <v>0</v>
      </c>
      <c r="AF57" s="37" t="n">
        <v>0</v>
      </c>
      <c r="AG57" s="37" t="n">
        <v>0</v>
      </c>
      <c r="AH57" s="37" t="n">
        <f aca="false">SUM(AA57:AG57)</f>
        <v>6325.25</v>
      </c>
      <c r="AI57" s="37" t="n">
        <f aca="false">Z57+AH57</f>
        <v>6325.25</v>
      </c>
      <c r="AJ57" s="37" t="n">
        <v>0</v>
      </c>
      <c r="AK57" s="37" t="n">
        <v>0</v>
      </c>
      <c r="AL57" s="37" t="n">
        <v>0</v>
      </c>
      <c r="AM57" s="37" t="n">
        <v>0</v>
      </c>
      <c r="AN57" s="37" t="n">
        <v>0</v>
      </c>
      <c r="AO57" s="37" t="n">
        <v>0</v>
      </c>
      <c r="AP57" s="37" t="n">
        <v>0</v>
      </c>
      <c r="AQ57" s="37" t="n">
        <f aca="false">SUM(AJ57:AP57)</f>
        <v>0</v>
      </c>
      <c r="AR57" s="37" t="n">
        <v>0</v>
      </c>
      <c r="AS57" s="37" t="n">
        <f aca="false">SUM(AR57:AR57)</f>
        <v>0</v>
      </c>
      <c r="AT57" s="37" t="n">
        <f aca="false">AI57-AQ57+AS57</f>
        <v>6325.25</v>
      </c>
      <c r="AU57" s="37" t="n">
        <v>6325.25</v>
      </c>
      <c r="AV57" s="37" t="n">
        <f aca="false">AU57-AT57</f>
        <v>0</v>
      </c>
    </row>
    <row r="58" customFormat="false" ht="15" hidden="false" customHeight="true" outlineLevel="0" collapsed="false">
      <c r="A58" s="34" t="s">
        <v>134</v>
      </c>
      <c r="B58" s="34" t="s">
        <v>135</v>
      </c>
      <c r="C58" s="35" t="s">
        <v>195</v>
      </c>
      <c r="D58" s="36" t="n">
        <v>45996.5722337963</v>
      </c>
      <c r="E58" s="35" t="s">
        <v>171</v>
      </c>
      <c r="F58" s="35" t="s">
        <v>172</v>
      </c>
      <c r="G58" s="35" t="s">
        <v>5</v>
      </c>
      <c r="H58" s="35" t="s">
        <v>3</v>
      </c>
      <c r="I58" s="34" t="s">
        <v>143</v>
      </c>
      <c r="J58" s="34"/>
      <c r="K58" s="34" t="s">
        <v>140</v>
      </c>
      <c r="L58" s="34" t="s">
        <v>141</v>
      </c>
      <c r="M58" s="36" t="n">
        <v>45996</v>
      </c>
      <c r="N58" s="36" t="n">
        <v>45658</v>
      </c>
      <c r="O58" s="36" t="n">
        <v>46022</v>
      </c>
      <c r="P58" s="34" t="n">
        <v>1</v>
      </c>
      <c r="Q58" s="37" t="n">
        <v>0</v>
      </c>
      <c r="R58" s="37" t="n">
        <v>0</v>
      </c>
      <c r="S58" s="37" t="n">
        <v>0</v>
      </c>
      <c r="T58" s="37" t="n">
        <v>0</v>
      </c>
      <c r="U58" s="37" t="n">
        <v>0</v>
      </c>
      <c r="V58" s="37" t="n">
        <v>0</v>
      </c>
      <c r="W58" s="37" t="n">
        <v>0</v>
      </c>
      <c r="X58" s="37" t="n">
        <v>0</v>
      </c>
      <c r="Y58" s="37" t="n">
        <v>0</v>
      </c>
      <c r="Z58" s="37" t="n">
        <f aca="false">SUM(Q58:Y58)</f>
        <v>0</v>
      </c>
      <c r="AA58" s="37" t="n">
        <v>0</v>
      </c>
      <c r="AB58" s="37" t="n">
        <v>0</v>
      </c>
      <c r="AC58" s="37" t="n">
        <v>0</v>
      </c>
      <c r="AD58" s="37" t="n">
        <v>7057.65</v>
      </c>
      <c r="AE58" s="37" t="n">
        <v>0</v>
      </c>
      <c r="AF58" s="37" t="n">
        <v>0</v>
      </c>
      <c r="AG58" s="37" t="n">
        <v>0</v>
      </c>
      <c r="AH58" s="37" t="n">
        <f aca="false">SUM(AA58:AG58)</f>
        <v>7057.65</v>
      </c>
      <c r="AI58" s="37" t="n">
        <f aca="false">Z58+AH58</f>
        <v>7057.65</v>
      </c>
      <c r="AJ58" s="37" t="n">
        <v>0</v>
      </c>
      <c r="AK58" s="37" t="n">
        <v>0</v>
      </c>
      <c r="AL58" s="37" t="n">
        <v>0</v>
      </c>
      <c r="AM58" s="37" t="n">
        <v>0</v>
      </c>
      <c r="AN58" s="37" t="n">
        <v>0</v>
      </c>
      <c r="AO58" s="37" t="n">
        <v>0</v>
      </c>
      <c r="AP58" s="37" t="n">
        <v>0</v>
      </c>
      <c r="AQ58" s="37" t="n">
        <f aca="false">SUM(AJ58:AP58)</f>
        <v>0</v>
      </c>
      <c r="AR58" s="37" t="n">
        <v>0</v>
      </c>
      <c r="AS58" s="37" t="n">
        <f aca="false">SUM(AR58:AR58)</f>
        <v>0</v>
      </c>
      <c r="AT58" s="37" t="n">
        <f aca="false">AI58-AQ58+AS58</f>
        <v>7057.65</v>
      </c>
      <c r="AU58" s="37" t="n">
        <v>7057.65</v>
      </c>
      <c r="AV58" s="37" t="n">
        <f aca="false">AU58-AT58</f>
        <v>0</v>
      </c>
    </row>
    <row r="59" customFormat="false" ht="15" hidden="false" customHeight="true" outlineLevel="0" collapsed="false">
      <c r="A59" s="34" t="s">
        <v>134</v>
      </c>
      <c r="B59" s="34" t="s">
        <v>135</v>
      </c>
      <c r="C59" s="35" t="s">
        <v>196</v>
      </c>
      <c r="D59" s="36" t="n">
        <v>46021.6328472222</v>
      </c>
      <c r="E59" s="35" t="s">
        <v>171</v>
      </c>
      <c r="F59" s="35" t="s">
        <v>172</v>
      </c>
      <c r="G59" s="35" t="s">
        <v>5</v>
      </c>
      <c r="H59" s="35" t="s">
        <v>3</v>
      </c>
      <c r="I59" s="34" t="s">
        <v>143</v>
      </c>
      <c r="J59" s="34"/>
      <c r="K59" s="34" t="s">
        <v>140</v>
      </c>
      <c r="L59" s="34" t="s">
        <v>141</v>
      </c>
      <c r="M59" s="36" t="n">
        <v>46021</v>
      </c>
      <c r="N59" s="36" t="n">
        <v>46007</v>
      </c>
      <c r="O59" s="36" t="n">
        <v>46022</v>
      </c>
      <c r="P59" s="34" t="n">
        <v>1</v>
      </c>
      <c r="Q59" s="37" t="n">
        <v>0</v>
      </c>
      <c r="R59" s="37" t="n">
        <v>0</v>
      </c>
      <c r="S59" s="37" t="n">
        <v>0</v>
      </c>
      <c r="T59" s="37" t="n">
        <v>0</v>
      </c>
      <c r="U59" s="37" t="n">
        <v>0</v>
      </c>
      <c r="V59" s="37" t="n">
        <v>0</v>
      </c>
      <c r="W59" s="37" t="n">
        <v>0</v>
      </c>
      <c r="X59" s="37" t="n">
        <v>0</v>
      </c>
      <c r="Y59" s="37" t="n">
        <v>0</v>
      </c>
      <c r="Z59" s="37" t="n">
        <f aca="false">SUM(Q59:Y59)</f>
        <v>0</v>
      </c>
      <c r="AA59" s="37" t="n">
        <v>0</v>
      </c>
      <c r="AB59" s="37" t="n">
        <v>0</v>
      </c>
      <c r="AC59" s="37" t="n">
        <v>0</v>
      </c>
      <c r="AD59" s="37" t="n">
        <v>6325.25</v>
      </c>
      <c r="AE59" s="37" t="n">
        <v>0</v>
      </c>
      <c r="AF59" s="37" t="n">
        <v>0</v>
      </c>
      <c r="AG59" s="37" t="n">
        <v>0</v>
      </c>
      <c r="AH59" s="37" t="n">
        <f aca="false">SUM(AA59:AG59)</f>
        <v>6325.25</v>
      </c>
      <c r="AI59" s="37" t="n">
        <f aca="false">Z59+AH59</f>
        <v>6325.25</v>
      </c>
      <c r="AJ59" s="37" t="n">
        <v>0</v>
      </c>
      <c r="AK59" s="37" t="n">
        <v>0</v>
      </c>
      <c r="AL59" s="37" t="n">
        <v>0</v>
      </c>
      <c r="AM59" s="37" t="n">
        <v>0</v>
      </c>
      <c r="AN59" s="37" t="n">
        <v>0</v>
      </c>
      <c r="AO59" s="37" t="n">
        <v>0</v>
      </c>
      <c r="AP59" s="37" t="n">
        <v>0</v>
      </c>
      <c r="AQ59" s="37" t="n">
        <f aca="false">SUM(AJ59:AP59)</f>
        <v>0</v>
      </c>
      <c r="AR59" s="37" t="n">
        <v>0</v>
      </c>
      <c r="AS59" s="37" t="n">
        <f aca="false">SUM(AR59:AR59)</f>
        <v>0</v>
      </c>
      <c r="AT59" s="37" t="n">
        <f aca="false">AI59-AQ59+AS59</f>
        <v>6325.25</v>
      </c>
      <c r="AU59" s="37" t="n">
        <v>6325.25</v>
      </c>
      <c r="AV59" s="37" t="n">
        <f aca="false">AU59-AT59</f>
        <v>0</v>
      </c>
    </row>
    <row r="60" customFormat="false" ht="15" hidden="false" customHeight="true" outlineLevel="0" collapsed="false">
      <c r="A60" s="38" t="s">
        <v>197</v>
      </c>
      <c r="B60" s="38"/>
      <c r="C60" s="38"/>
      <c r="D60" s="38"/>
      <c r="E60" s="38"/>
      <c r="F60" s="38"/>
      <c r="G60" s="38"/>
      <c r="H60" s="38"/>
      <c r="I60" s="38"/>
      <c r="J60" s="38"/>
      <c r="K60" s="38"/>
      <c r="L60" s="38"/>
      <c r="M60" s="38"/>
      <c r="N60" s="38"/>
      <c r="O60" s="38"/>
      <c r="P60" s="38"/>
      <c r="Q60" s="39" t="n">
        <f aca="false">SUM(Q35:Q59)</f>
        <v>0</v>
      </c>
      <c r="R60" s="39" t="n">
        <f aca="false">SUM(R35:R59)</f>
        <v>0</v>
      </c>
      <c r="S60" s="39" t="n">
        <f aca="false">SUM(S35:S59)</f>
        <v>0</v>
      </c>
      <c r="T60" s="39" t="n">
        <f aca="false">SUM(T35:T59)</f>
        <v>0</v>
      </c>
      <c r="U60" s="39" t="n">
        <f aca="false">SUM(U35:U59)</f>
        <v>0</v>
      </c>
      <c r="V60" s="39" t="n">
        <f aca="false">SUM(V35:V59)</f>
        <v>0</v>
      </c>
      <c r="W60" s="39" t="n">
        <f aca="false">SUM(W35:W59)</f>
        <v>0</v>
      </c>
      <c r="X60" s="39" t="n">
        <f aca="false">SUM(X35:X59)</f>
        <v>0</v>
      </c>
      <c r="Y60" s="39" t="n">
        <f aca="false">SUM(Y35:Y59)</f>
        <v>0</v>
      </c>
      <c r="Z60" s="39" t="n">
        <f aca="false">SUM(Z35:Z59)</f>
        <v>0</v>
      </c>
      <c r="AA60" s="39" t="n">
        <f aca="false">SUM(AA35:AA59)</f>
        <v>0</v>
      </c>
      <c r="AB60" s="39" t="n">
        <f aca="false">SUM(AB35:AB59)</f>
        <v>0</v>
      </c>
      <c r="AC60" s="39" t="n">
        <f aca="false">SUM(AC35:AC59)</f>
        <v>0</v>
      </c>
      <c r="AD60" s="39" t="n">
        <f aca="false">SUM(AD35:AD59)</f>
        <v>160528.19</v>
      </c>
      <c r="AE60" s="39" t="n">
        <f aca="false">SUM(AE35:AE59)</f>
        <v>0</v>
      </c>
      <c r="AF60" s="39" t="n">
        <f aca="false">SUM(AF35:AF59)</f>
        <v>0</v>
      </c>
      <c r="AG60" s="39" t="n">
        <f aca="false">SUM(AG35:AG59)</f>
        <v>0</v>
      </c>
      <c r="AH60" s="39" t="n">
        <f aca="false">SUM(AH35:AH59)</f>
        <v>160528.19</v>
      </c>
      <c r="AI60" s="39" t="n">
        <f aca="false">SUM(AI35:AI59)</f>
        <v>160528.19</v>
      </c>
      <c r="AJ60" s="39" t="n">
        <f aca="false">SUM(AJ35:AJ59)</f>
        <v>0</v>
      </c>
      <c r="AK60" s="39" t="n">
        <f aca="false">SUM(AK35:AK59)</f>
        <v>0</v>
      </c>
      <c r="AL60" s="39" t="n">
        <f aca="false">SUM(AL35:AL59)</f>
        <v>0</v>
      </c>
      <c r="AM60" s="39" t="n">
        <f aca="false">SUM(AM35:AM59)</f>
        <v>0</v>
      </c>
      <c r="AN60" s="39" t="n">
        <f aca="false">SUM(AN35:AN59)</f>
        <v>0</v>
      </c>
      <c r="AO60" s="39" t="n">
        <f aca="false">SUM(AO35:AO59)</f>
        <v>0</v>
      </c>
      <c r="AP60" s="39" t="n">
        <f aca="false">SUM(AP35:AP59)</f>
        <v>0</v>
      </c>
      <c r="AQ60" s="39" t="n">
        <f aca="false">SUM(AQ35:AQ59)</f>
        <v>0</v>
      </c>
      <c r="AR60" s="39" t="n">
        <f aca="false">SUM(AR35:AR59)</f>
        <v>0</v>
      </c>
      <c r="AS60" s="39" t="n">
        <f aca="false">SUM(AS35:AS59)</f>
        <v>0</v>
      </c>
      <c r="AT60" s="39" t="n">
        <f aca="false">SUM(AT35:AT59)</f>
        <v>160528.19</v>
      </c>
      <c r="AU60" s="39" t="n">
        <f aca="false">SUM(AU35:AU59)</f>
        <v>160528.19</v>
      </c>
      <c r="AV60" s="39" t="n">
        <f aca="false">SUM(AV35:AV59)</f>
        <v>0</v>
      </c>
    </row>
    <row r="61" customFormat="false" ht="15" hidden="false" customHeight="true" outlineLevel="0" collapsed="false">
      <c r="A61" s="38" t="s">
        <v>198</v>
      </c>
      <c r="B61" s="38"/>
      <c r="C61" s="38"/>
      <c r="D61" s="38"/>
      <c r="E61" s="38"/>
      <c r="F61" s="38"/>
      <c r="G61" s="38"/>
      <c r="H61" s="38"/>
      <c r="I61" s="38"/>
      <c r="J61" s="38"/>
      <c r="K61" s="38"/>
      <c r="L61" s="38"/>
      <c r="M61" s="38"/>
      <c r="N61" s="38"/>
      <c r="O61" s="38"/>
      <c r="P61" s="38"/>
      <c r="Q61" s="39" t="n">
        <f aca="false">SUM(Q34,Q60)</f>
        <v>288295.59</v>
      </c>
      <c r="R61" s="39" t="n">
        <f aca="false">SUM(R34,R60)</f>
        <v>4681.78</v>
      </c>
      <c r="S61" s="39" t="n">
        <f aca="false">SUM(S34,S60)</f>
        <v>1581.81</v>
      </c>
      <c r="T61" s="39" t="n">
        <f aca="false">SUM(T34,T60)</f>
        <v>4873.07</v>
      </c>
      <c r="U61" s="39" t="n">
        <f aca="false">SUM(U34,U60)</f>
        <v>8644.65</v>
      </c>
      <c r="V61" s="39" t="n">
        <f aca="false">SUM(V34,V60)</f>
        <v>29297.76</v>
      </c>
      <c r="W61" s="39" t="n">
        <f aca="false">SUM(W34,W60)</f>
        <v>1605.18</v>
      </c>
      <c r="X61" s="39" t="n">
        <f aca="false">SUM(X34,X60)</f>
        <v>36919.14</v>
      </c>
      <c r="Y61" s="39" t="n">
        <f aca="false">SUM(Y34,Y60)</f>
        <v>790.17</v>
      </c>
      <c r="Z61" s="39" t="n">
        <f aca="false">SUM(Z34,Z60)</f>
        <v>376689.15</v>
      </c>
      <c r="AA61" s="39" t="n">
        <f aca="false">SUM(AA34,AA60)</f>
        <v>1628.55</v>
      </c>
      <c r="AB61" s="39" t="n">
        <f aca="false">SUM(AB34,AB60)</f>
        <v>2149.66</v>
      </c>
      <c r="AC61" s="39" t="n">
        <f aca="false">SUM(AC34,AC60)</f>
        <v>3394.2</v>
      </c>
      <c r="AD61" s="39" t="n">
        <f aca="false">SUM(AD34,AD60)</f>
        <v>160528.19</v>
      </c>
      <c r="AE61" s="39" t="n">
        <f aca="false">SUM(AE34,AE60)</f>
        <v>11719.2</v>
      </c>
      <c r="AF61" s="39" t="n">
        <f aca="false">SUM(AF34,AF60)</f>
        <v>11719.2</v>
      </c>
      <c r="AG61" s="39" t="n">
        <f aca="false">SUM(AG34,AG60)</f>
        <v>9600</v>
      </c>
      <c r="AH61" s="39" t="n">
        <f aca="false">SUM(AH34,AH60)</f>
        <v>200739</v>
      </c>
      <c r="AI61" s="39" t="n">
        <f aca="false">SUM(AI34,AI60)</f>
        <v>577428.15</v>
      </c>
      <c r="AJ61" s="39" t="n">
        <f aca="false">SUM(AJ34,AJ60)</f>
        <v>59948.37</v>
      </c>
      <c r="AK61" s="39" t="n">
        <f aca="false">SUM(AK34,AK60)</f>
        <v>5247.01</v>
      </c>
      <c r="AL61" s="39" t="n">
        <f aca="false">SUM(AL34,AL60)</f>
        <v>38605.79</v>
      </c>
      <c r="AM61" s="39" t="n">
        <f aca="false">SUM(AM34,AM60)</f>
        <v>11719.2</v>
      </c>
      <c r="AN61" s="39" t="n">
        <f aca="false">SUM(AN34,AN60)</f>
        <v>3262</v>
      </c>
      <c r="AO61" s="39" t="n">
        <f aca="false">SUM(AO34,AO60)</f>
        <v>3915.18</v>
      </c>
      <c r="AP61" s="39" t="n">
        <f aca="false">SUM(AP34,AP60)</f>
        <v>976.27</v>
      </c>
      <c r="AQ61" s="39" t="n">
        <f aca="false">SUM(AQ34,AQ60)</f>
        <v>123673.82</v>
      </c>
      <c r="AR61" s="39" t="n">
        <f aca="false">SUM(AR34,AR60)</f>
        <v>0</v>
      </c>
      <c r="AS61" s="39" t="n">
        <f aca="false">SUM(AS34,AS60)</f>
        <v>0</v>
      </c>
      <c r="AT61" s="39" t="n">
        <f aca="false">SUM(AT34,AT60)</f>
        <v>453754.33</v>
      </c>
      <c r="AU61" s="39" t="n">
        <f aca="false">SUM(AU34,AU60)</f>
        <v>453754.33</v>
      </c>
      <c r="AV61" s="39" t="n">
        <f aca="false">SUM(AV34,AV60)</f>
        <v>0</v>
      </c>
    </row>
  </sheetData>
  <autoFilter ref="A6:AV6"/>
  <mergeCells count="5">
    <mergeCell ref="A1:P5"/>
    <mergeCell ref="Q1:Y1"/>
    <mergeCell ref="AA1:AG1"/>
    <mergeCell ref="AJ1:AP1"/>
    <mergeCell ref="AT1:AV5"/>
  </mergeCells>
  <conditionalFormatting sqref="AV7:AV59">
    <cfRule type="cellIs" priority="2" operator="notBetween" aboveAverage="0" equalAverage="0" bottom="0" percent="0" rank="0" text="" dxfId="7">
      <formula>-0.01</formula>
      <formula>0.01</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6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A1" activeCellId="0" sqref="A1"/>
    </sheetView>
  </sheetViews>
  <sheetFormatPr defaultColWidth="8.6796875" defaultRowHeight="15" zeroHeight="false" outlineLevelRow="0" outlineLevelCol="0"/>
  <cols>
    <col collapsed="false" customWidth="true" hidden="false" outlineLevel="0" max="1" min="1" style="1" width="2.71"/>
    <col collapsed="false" customWidth="true" hidden="false" outlineLevel="0" max="2" min="2" style="1" width="58.71"/>
    <col collapsed="false" customWidth="true" hidden="false" outlineLevel="0" max="3" min="3" style="1" width="20.71"/>
  </cols>
  <sheetData>
    <row r="1" customFormat="false" ht="27.75" hidden="false" customHeight="true" outlineLevel="0" collapsed="false">
      <c r="A1" s="40" t="s">
        <v>199</v>
      </c>
      <c r="B1" s="40"/>
      <c r="C1" s="40"/>
    </row>
    <row r="2" customFormat="false" ht="15" hidden="false" customHeight="true" outlineLevel="0" collapsed="false">
      <c r="B2" s="41" t="s">
        <v>200</v>
      </c>
      <c r="C2" s="42" t="s">
        <v>7</v>
      </c>
    </row>
    <row r="3" customFormat="false" ht="15" hidden="false" customHeight="true" outlineLevel="0" collapsed="false">
      <c r="B3" s="41" t="s">
        <v>201</v>
      </c>
      <c r="C3" s="42" t="s">
        <v>138</v>
      </c>
    </row>
    <row r="4" customFormat="false" ht="15" hidden="false" customHeight="true" outlineLevel="0" collapsed="false">
      <c r="B4" s="41" t="s">
        <v>202</v>
      </c>
      <c r="C4" s="42" t="s">
        <v>137</v>
      </c>
    </row>
    <row r="5" customFormat="false" ht="15" hidden="false" customHeight="true" outlineLevel="0" collapsed="false">
      <c r="B5" s="41" t="s">
        <v>203</v>
      </c>
      <c r="C5" s="42" t="s">
        <v>204</v>
      </c>
    </row>
    <row r="7" customFormat="false" ht="21.75" hidden="false" customHeight="true" outlineLevel="0" collapsed="false">
      <c r="A7" s="43" t="s">
        <v>205</v>
      </c>
      <c r="B7" s="43"/>
      <c r="C7" s="43"/>
    </row>
    <row r="8" customFormat="false" ht="15" hidden="false" customHeight="true" outlineLevel="0" collapsed="false">
      <c r="A8" s="44" t="s">
        <v>206</v>
      </c>
      <c r="B8" s="44"/>
      <c r="C8" s="45" t="n">
        <f aca="false">(SUMPRODUCT((1-ISNUMBER(MATCH(CONCENTRADO!Q3:Y3,{"022","023","025","039","044","046"},0)))*CONCENTRADO!Q7:Y33))+(SUMPRODUCT((1-ISNUMBER(MATCH(CONCENTRADO!AA3:AG3,{"022","023","025","039","044","046"},0)))*CONCENTRADO!AA7:AG33))</f>
        <v>416899.96</v>
      </c>
    </row>
    <row r="9" customFormat="false" ht="15" hidden="false" customHeight="true" outlineLevel="0" collapsed="false">
      <c r="A9" s="46" t="s">
        <v>207</v>
      </c>
      <c r="B9" s="46"/>
      <c r="C9" s="47" t="n">
        <f aca="false">(SUMPRODUCT((1-ISNUMBER(MATCH(CONCENTRADO!Q3:Y3,{"022","023","025","039","044","046"},0)))*CONCENTRADO!Q7:Y33))+(SUMPRODUCT((1-ISNUMBER(MATCH(CONCENTRADO!AA3:AG3,{"022","023","025","039","044","046"},0)))*CONCENTRADO!AA7:AG33))</f>
        <v>416899.96</v>
      </c>
    </row>
    <row r="10" customFormat="false" ht="15" hidden="false" customHeight="true" outlineLevel="0" collapsed="false">
      <c r="A10" s="46" t="s">
        <v>208</v>
      </c>
      <c r="B10" s="46"/>
      <c r="C10" s="47" t="n">
        <v>0</v>
      </c>
    </row>
    <row r="11" customFormat="false" ht="15" hidden="false" customHeight="true" outlineLevel="0" collapsed="false">
      <c r="A11" s="44" t="s">
        <v>209</v>
      </c>
      <c r="B11" s="44"/>
      <c r="C11" s="45" t="n">
        <f aca="false">SUMPRODUCT((1-ISNUMBER(MATCH(CONCENTRADO!AA3:AG3,{"022","023","025","039","044","046"},0)))*CONCENTRADO!AA7:AG33)</f>
        <v>40210.81</v>
      </c>
    </row>
    <row r="12" customFormat="false" ht="15" hidden="false" customHeight="true" outlineLevel="0" collapsed="false">
      <c r="A12" s="46" t="s">
        <v>210</v>
      </c>
      <c r="B12" s="46"/>
      <c r="C12" s="47" t="n">
        <f aca="false">SUMPRODUCT((1-ISNUMBER(MATCH(CONCENTRADO!AA3:AG3,{"022","023","025","039","044","046"},0)))*CONCENTRADO!AA7:AG33)</f>
        <v>40210.81</v>
      </c>
    </row>
    <row r="13" customFormat="false" ht="15" hidden="false" customHeight="true" outlineLevel="0" collapsed="false">
      <c r="A13" s="46" t="s">
        <v>211</v>
      </c>
      <c r="B13" s="46"/>
      <c r="C13" s="47" t="n">
        <v>0</v>
      </c>
    </row>
    <row r="14" customFormat="false" ht="15" hidden="false" customHeight="true" outlineLevel="0" collapsed="false">
      <c r="A14" s="48" t="s">
        <v>212</v>
      </c>
      <c r="B14" s="48"/>
      <c r="C14" s="48"/>
    </row>
    <row r="15" customFormat="false" ht="15" hidden="false" customHeight="true" outlineLevel="0" collapsed="false">
      <c r="A15" s="46" t="s">
        <v>213</v>
      </c>
      <c r="B15" s="46"/>
      <c r="C15" s="47" t="n">
        <f aca="false">SUMPRODUCT((CONCENTRADO!AA3:AG3="002")*CONCENTRADO!AA7:AG33)</f>
        <v>3394.2</v>
      </c>
    </row>
    <row r="16" customFormat="false" ht="15" hidden="false" customHeight="true" outlineLevel="0" collapsed="false">
      <c r="A16" s="46" t="s">
        <v>214</v>
      </c>
      <c r="B16" s="46"/>
      <c r="C16" s="47" t="n">
        <f aca="false">SUMPRODUCT((CONCENTRADO!AA3:AG3="021")*CONCENTRADO!AA7:AG33)</f>
        <v>1628.55</v>
      </c>
    </row>
    <row r="17" customFormat="false" ht="15" hidden="false" customHeight="true" outlineLevel="0" collapsed="false">
      <c r="A17" s="46" t="s">
        <v>215</v>
      </c>
      <c r="B17" s="46"/>
      <c r="C17" s="47" t="n">
        <f aca="false">SUMPRODUCT((CONCENTRADO!AA3:AG3="020")*CONCENTRADO!AA7:AG33)</f>
        <v>2149.66</v>
      </c>
    </row>
    <row r="18" customFormat="false" ht="15" hidden="false" customHeight="true" outlineLevel="0" collapsed="false">
      <c r="A18" s="46" t="s">
        <v>216</v>
      </c>
      <c r="B18" s="46"/>
      <c r="C18" s="47" t="n">
        <f aca="false">SUMPRODUCT((CONCENTRADO!AA3:AG3="003")*CONCENTRADO!AA7:AG33)</f>
        <v>0</v>
      </c>
    </row>
    <row r="19" customFormat="false" ht="15" hidden="false" customHeight="true" outlineLevel="0" collapsed="false">
      <c r="A19" s="46" t="s">
        <v>217</v>
      </c>
      <c r="B19" s="46"/>
      <c r="C19" s="47" t="n">
        <f aca="false">SUMPRODUCT((--ISNUMBER(MATCH(CONCENTRADO!AA3:AG3,{"004","005","006","011","012","013","014","015","024","026","027","029","030","033","034","035","036","037","047"},0)))*CONCENTRADO!AA7:AG33)</f>
        <v>33038.4</v>
      </c>
    </row>
    <row r="20" customFormat="false" ht="15" hidden="false" customHeight="true" outlineLevel="0" collapsed="false">
      <c r="A20" s="46" t="s">
        <v>218</v>
      </c>
      <c r="B20" s="46"/>
      <c r="C20" s="47" t="n">
        <f aca="false">SUMPRODUCT((1-ISNUMBER(MATCH(CONCENTRADO!AA3:AG3,{"002","003","004","005","006","011","012","013","014","015","020","021","022","023","024","025","026","027","029","030","033","034","035","036","037","039","044","046","047"},0)))*CONCENTRADO!AA7:AG33)</f>
        <v>0</v>
      </c>
    </row>
    <row r="21" customFormat="false" ht="15" hidden="false" customHeight="true" outlineLevel="0" collapsed="false">
      <c r="A21" s="48" t="s">
        <v>219</v>
      </c>
      <c r="B21" s="48"/>
      <c r="C21" s="48"/>
    </row>
    <row r="22" customFormat="false" ht="15" hidden="false" customHeight="true" outlineLevel="0" collapsed="false">
      <c r="A22" s="46" t="s">
        <v>220</v>
      </c>
      <c r="B22" s="46"/>
      <c r="C22" s="47" t="n">
        <v>0</v>
      </c>
    </row>
    <row r="23" customFormat="false" ht="15" hidden="false" customHeight="true" outlineLevel="0" collapsed="false">
      <c r="A23" s="46" t="s">
        <v>221</v>
      </c>
      <c r="B23" s="46"/>
      <c r="C23" s="47" t="n">
        <f aca="false">SUMPRODUCT((CONCENTRADO!AJ3:AP3="071")*CONCENTRADO!AJ7:AP33)</f>
        <v>0</v>
      </c>
    </row>
    <row r="24" customFormat="false" ht="15" hidden="false" customHeight="true" outlineLevel="0" collapsed="false">
      <c r="A24" s="46" t="s">
        <v>222</v>
      </c>
      <c r="B24" s="46"/>
      <c r="C24" s="47" t="n">
        <f aca="false">SUMPRODUCT((CONCENTRADO!AR3:AR3="002")*CONCENTRADO!AR7:AR33)</f>
        <v>0</v>
      </c>
    </row>
    <row r="25" customFormat="false" ht="15" hidden="false" customHeight="true" outlineLevel="0" collapsed="false">
      <c r="A25" s="46" t="s">
        <v>223</v>
      </c>
      <c r="B25" s="46"/>
      <c r="C25" s="47" t="n">
        <f aca="false">SUMPRODUCT((CONCENTRADO!AR3:AR3="002")*CONCENTRADO!AR7:AR33)</f>
        <v>0</v>
      </c>
    </row>
    <row r="26" customFormat="false" ht="15" hidden="false" customHeight="true" outlineLevel="0" collapsed="false">
      <c r="A26" s="46" t="s">
        <v>224</v>
      </c>
      <c r="B26" s="46"/>
      <c r="C26" s="47" t="n">
        <v>0</v>
      </c>
    </row>
    <row r="28" customFormat="false" ht="21.75" hidden="false" customHeight="true" outlineLevel="0" collapsed="false">
      <c r="A28" s="43" t="s">
        <v>225</v>
      </c>
      <c r="B28" s="43"/>
      <c r="C28" s="43"/>
    </row>
    <row r="29" customFormat="false" ht="15" hidden="false" customHeight="true" outlineLevel="0" collapsed="false">
      <c r="A29" s="44" t="s">
        <v>226</v>
      </c>
      <c r="B29" s="44"/>
      <c r="C29" s="45" t="n">
        <f aca="false">(SUMPRODUCT((CONCENTRADO!Q3:Y3="046")*CONCENTRADO!Q7:Y33))+(SUMPRODUCT((CONCENTRADO!AA3:AG3="046")*CONCENTRADO!AA7:AG33))</f>
        <v>0</v>
      </c>
    </row>
    <row r="30" customFormat="false" ht="15" hidden="false" customHeight="true" outlineLevel="0" collapsed="false">
      <c r="A30" s="46" t="s">
        <v>227</v>
      </c>
      <c r="B30" s="46"/>
      <c r="C30" s="47" t="n">
        <f aca="false">(SUMPRODUCT((CONCENTRADO!Q3:Y3="046")*CONCENTRADO!Q7:Y33))+(SUMPRODUCT((CONCENTRADO!AA3:AG3="046")*CONCENTRADO!AA7:AG33))</f>
        <v>0</v>
      </c>
    </row>
    <row r="31" customFormat="false" ht="15" hidden="false" customHeight="true" outlineLevel="0" collapsed="false">
      <c r="A31" s="46" t="s">
        <v>228</v>
      </c>
      <c r="B31" s="46"/>
      <c r="C31" s="47" t="n">
        <v>0</v>
      </c>
    </row>
    <row r="33" customFormat="false" ht="21.75" hidden="false" customHeight="true" outlineLevel="0" collapsed="false">
      <c r="A33" s="43" t="s">
        <v>229</v>
      </c>
      <c r="B33" s="43"/>
      <c r="C33" s="43"/>
    </row>
    <row r="34" customFormat="false" ht="15" hidden="false" customHeight="true" outlineLevel="0" collapsed="false">
      <c r="A34" s="44" t="s">
        <v>230</v>
      </c>
      <c r="B34" s="44"/>
      <c r="C34" s="45" t="n">
        <f aca="false">(SUMPRODUCT((--ISNUMBER(MATCH(CONCENTRADO!Q3:Y3,{"022","023","025"},0)))*CONCENTRADO!Q7:Y33))+(SUMPRODUCT((--ISNUMBER(MATCH(CONCENTRADO!AA3:AG3,{"022","023","025"},0)))*CONCENTRADO!AA7:AG33))</f>
        <v>0</v>
      </c>
    </row>
    <row r="35" customFormat="false" ht="15" hidden="false" customHeight="true" outlineLevel="0" collapsed="false">
      <c r="A35" s="46" t="s">
        <v>231</v>
      </c>
      <c r="B35" s="46"/>
      <c r="C35" s="47" t="n">
        <f aca="false">(SUMPRODUCT((--ISNUMBER(MATCH(CONCENTRADO!Q3:Y3,{"022","023","025"},0)))*CONCENTRADO!Q7:Y33))+(SUMPRODUCT((--ISNUMBER(MATCH(CONCENTRADO!AA3:AG3,{"022","023","025"},0)))*CONCENTRADO!AA7:AG33))</f>
        <v>0</v>
      </c>
    </row>
    <row r="36" customFormat="false" ht="15" hidden="false" customHeight="true" outlineLevel="0" collapsed="false">
      <c r="A36" s="46" t="s">
        <v>232</v>
      </c>
      <c r="B36" s="46"/>
      <c r="C36" s="47" t="n">
        <v>0</v>
      </c>
    </row>
    <row r="37" customFormat="false" ht="15" hidden="false" customHeight="true" outlineLevel="0" collapsed="false">
      <c r="A37" s="44" t="s">
        <v>233</v>
      </c>
      <c r="B37" s="44"/>
      <c r="C37" s="45" t="n">
        <f aca="false">SUMPRODUCT((--ISNUMBER(MATCH(CONCENTRADO!AA3:AG3,{"022","023","025"},0)))*CONCENTRADO!AA7:AG33)</f>
        <v>0</v>
      </c>
    </row>
    <row r="38" customFormat="false" ht="15" hidden="false" customHeight="true" outlineLevel="0" collapsed="false">
      <c r="A38" s="46" t="s">
        <v>234</v>
      </c>
      <c r="B38" s="46"/>
      <c r="C38" s="47" t="n">
        <f aca="false">SUMPRODUCT((--ISNUMBER(MATCH(CONCENTRADO!AA3:AG3,{"022","023","025"},0)))*CONCENTRADO!AA7:AG33)</f>
        <v>0</v>
      </c>
    </row>
    <row r="39" customFormat="false" ht="15" hidden="false" customHeight="true" outlineLevel="0" collapsed="false">
      <c r="A39" s="46" t="s">
        <v>235</v>
      </c>
      <c r="B39" s="46"/>
      <c r="C39" s="47" t="n">
        <v>0</v>
      </c>
    </row>
    <row r="40" customFormat="false" ht="15" hidden="false" customHeight="true" outlineLevel="0" collapsed="false">
      <c r="A40" s="44" t="s">
        <v>236</v>
      </c>
      <c r="B40" s="44"/>
      <c r="C40" s="45" t="n">
        <v>0</v>
      </c>
    </row>
    <row r="41" customFormat="false" ht="15" hidden="false" customHeight="true" outlineLevel="0" collapsed="false">
      <c r="A41" s="46" t="s">
        <v>237</v>
      </c>
      <c r="B41" s="46"/>
      <c r="C41" s="47" t="n">
        <v>0</v>
      </c>
    </row>
    <row r="42" customFormat="false" ht="15" hidden="false" customHeight="true" outlineLevel="0" collapsed="false">
      <c r="A42" s="46" t="s">
        <v>238</v>
      </c>
      <c r="B42" s="46"/>
      <c r="C42" s="47" t="n">
        <v>0</v>
      </c>
    </row>
    <row r="43" customFormat="false" ht="15" hidden="false" customHeight="true" outlineLevel="0" collapsed="false">
      <c r="A43" s="44" t="s">
        <v>239</v>
      </c>
      <c r="B43" s="44"/>
      <c r="C43" s="49" t="n">
        <v>0</v>
      </c>
    </row>
    <row r="45" customFormat="false" ht="21.75" hidden="false" customHeight="true" outlineLevel="0" collapsed="false">
      <c r="A45" s="43" t="s">
        <v>240</v>
      </c>
      <c r="B45" s="43"/>
      <c r="C45" s="43"/>
    </row>
    <row r="46" customFormat="false" ht="15" hidden="false" customHeight="true" outlineLevel="0" collapsed="false">
      <c r="A46" s="44" t="s">
        <v>241</v>
      </c>
      <c r="B46" s="44"/>
      <c r="C46" s="45" t="n">
        <f aca="false">(SUMPRODUCT((CONCENTRADO!Q3:Y3="044")*CONCENTRADO!Q7:Y33))+(SUMPRODUCT((CONCENTRADO!AA3:AG3="044")*CONCENTRADO!AA7:AG33))</f>
        <v>0</v>
      </c>
    </row>
    <row r="47" customFormat="false" ht="15" hidden="false" customHeight="true" outlineLevel="0" collapsed="false">
      <c r="A47" s="46" t="s">
        <v>242</v>
      </c>
      <c r="B47" s="46"/>
      <c r="C47" s="47" t="n">
        <v>0</v>
      </c>
    </row>
    <row r="48" customFormat="false" ht="15" hidden="false" customHeight="true" outlineLevel="0" collapsed="false">
      <c r="A48" s="46" t="s">
        <v>243</v>
      </c>
      <c r="B48" s="46"/>
      <c r="C48" s="47" t="n">
        <f aca="false">(SUMPRODUCT((CONCENTRADO!AJ3:AP3="069")*CONCENTRADO!AJ7:AP33))+(SUMPRODUCT((CONCENTRADO!AJ3:AP3="070")*CONCENTRADO!AJ7:AP33))</f>
        <v>0</v>
      </c>
    </row>
    <row r="49" customFormat="false" ht="15" hidden="false" customHeight="true" outlineLevel="0" collapsed="false">
      <c r="A49" s="44" t="s">
        <v>244</v>
      </c>
      <c r="B49" s="44"/>
      <c r="C49" s="45" t="n">
        <f aca="false">SUMPRODUCT((CONCENTRADO!AA3:AG3="044")*CONCENTRADO!AA7:AG33)</f>
        <v>0</v>
      </c>
    </row>
    <row r="50" customFormat="false" ht="15" hidden="false" customHeight="true" outlineLevel="0" collapsed="false">
      <c r="A50" s="46" t="s">
        <v>245</v>
      </c>
      <c r="B50" s="46"/>
      <c r="C50" s="47" t="n">
        <f aca="false">SUMPRODUCT((CONCENTRADO!AA3:AG3="044")*CONCENTRADO!AA7:AG33)</f>
        <v>0</v>
      </c>
    </row>
    <row r="51" customFormat="false" ht="15" hidden="false" customHeight="true" outlineLevel="0" collapsed="false">
      <c r="A51" s="46" t="s">
        <v>246</v>
      </c>
      <c r="B51" s="46"/>
      <c r="C51" s="47" t="n">
        <f aca="false">SUMPRODUCT((CONCENTRADO!AJ3:AP3="069")*CONCENTRADO!AJ7:AP33)</f>
        <v>0</v>
      </c>
    </row>
    <row r="53" customFormat="false" ht="21.75" hidden="false" customHeight="true" outlineLevel="0" collapsed="false">
      <c r="A53" s="43" t="s">
        <v>247</v>
      </c>
      <c r="B53" s="43"/>
      <c r="C53" s="43"/>
    </row>
    <row r="54" customFormat="false" ht="15" hidden="false" customHeight="true" outlineLevel="0" collapsed="false">
      <c r="A54" s="44" t="s">
        <v>248</v>
      </c>
      <c r="B54" s="44"/>
      <c r="C54" s="45" t="n">
        <f aca="false">(SUMPRODUCT((CONCENTRADO!Q3:Y3="039")*CONCENTRADO!Q7:Y33))+(SUMPRODUCT((CONCENTRADO!AA3:AG3="039")*CONCENTRADO!AA7:AG33))</f>
        <v>0</v>
      </c>
    </row>
    <row r="55" customFormat="false" ht="15" hidden="false" customHeight="true" outlineLevel="0" collapsed="false">
      <c r="A55" s="46" t="s">
        <v>249</v>
      </c>
      <c r="B55" s="46"/>
      <c r="C55" s="47" t="n">
        <v>160528.19</v>
      </c>
    </row>
    <row r="56" customFormat="false" ht="15" hidden="false" customHeight="true" outlineLevel="0" collapsed="false">
      <c r="A56" s="46" t="s">
        <v>250</v>
      </c>
      <c r="B56" s="46"/>
      <c r="C56" s="47" t="n">
        <f aca="false">(SUMPRODUCT((CONCENTRADO!AJ3:AP3="065")*CONCENTRADO!AJ7:AP33))+(SUMPRODUCT((CONCENTRADO!AJ3:AP3="066")*CONCENTRADO!AJ7:AP33))</f>
        <v>0</v>
      </c>
    </row>
    <row r="57" customFormat="false" ht="15" hidden="false" customHeight="true" outlineLevel="0" collapsed="false">
      <c r="A57" s="44" t="s">
        <v>251</v>
      </c>
      <c r="B57" s="44"/>
      <c r="C57" s="45" t="n">
        <f aca="false">SUMPRODUCT((CONCENTRADO!AA3:AG3="039")*CONCENTRADO!AA7:AG33)</f>
        <v>0</v>
      </c>
    </row>
    <row r="58" customFormat="false" ht="15" hidden="false" customHeight="true" outlineLevel="0" collapsed="false">
      <c r="A58" s="46" t="s">
        <v>252</v>
      </c>
      <c r="B58" s="46"/>
      <c r="C58" s="47" t="n">
        <f aca="false">SUMPRODUCT((CONCENTRADO!AA3:AG3="039")*CONCENTRADO!AA7:AG33)</f>
        <v>0</v>
      </c>
    </row>
    <row r="59" customFormat="false" ht="15" hidden="false" customHeight="true" outlineLevel="0" collapsed="false">
      <c r="A59" s="46" t="s">
        <v>253</v>
      </c>
      <c r="B59" s="46"/>
      <c r="C59" s="47" t="n">
        <f aca="false">SUMPRODUCT((CONCENTRADO!AJ3:AP3="065")*CONCENTRADO!AJ7:AP33)</f>
        <v>0</v>
      </c>
    </row>
    <row r="61" customFormat="false" ht="21.75" hidden="false" customHeight="true" outlineLevel="0" collapsed="false">
      <c r="A61" s="43" t="s">
        <v>254</v>
      </c>
      <c r="B61" s="43"/>
      <c r="C61" s="43"/>
    </row>
    <row r="62" customFormat="false" ht="15" hidden="false" customHeight="true" outlineLevel="0" collapsed="false">
      <c r="A62" s="44" t="s">
        <v>255</v>
      </c>
      <c r="B62" s="44"/>
      <c r="C62" s="45" t="n">
        <f aca="false">SUMPRODUCT((CONCENTRADO!AJ3:AP3="002")*CONCENTRADO!AJ7:AP33)-(SUMPRODUCT((CONCENTRADO!AR3:AR3="001")*CONCENTRADO!AR7:AR33))</f>
        <v>59948.37</v>
      </c>
    </row>
    <row r="63" customFormat="false" ht="15" hidden="false" customHeight="true" outlineLevel="0" collapsed="false">
      <c r="A63" s="46" t="s">
        <v>256</v>
      </c>
      <c r="B63" s="46"/>
      <c r="C63" s="47" t="n">
        <f aca="false">SUMPRODUCT((CONCENTRADO!AJ3:AP3="002")*CONCENTRADO!AJ7:AP33)</f>
        <v>59948.37</v>
      </c>
    </row>
    <row r="64" customFormat="false" ht="15" hidden="false" customHeight="true" outlineLevel="0" collapsed="false">
      <c r="A64" s="46" t="s">
        <v>257</v>
      </c>
      <c r="B64" s="46"/>
      <c r="C64" s="47" t="n">
        <f aca="false">SUMPRODUCT((CONCENTRADO!AR3:AR3="001")*CONCENTRADO!AR7:AR33)</f>
        <v>0</v>
      </c>
    </row>
    <row r="65" customFormat="false" ht="15" hidden="false" customHeight="true" outlineLevel="0" collapsed="false">
      <c r="A65" s="44" t="s">
        <v>258</v>
      </c>
      <c r="B65" s="44"/>
      <c r="C65" s="45" t="n">
        <f aca="false">SUMPRODUCT((CONCENTRADO!AJ3:AP3="101")*CONCENTRADO!AJ7:AP33)</f>
        <v>0</v>
      </c>
    </row>
    <row r="66" customFormat="false" ht="15" hidden="false" customHeight="true" outlineLevel="0" collapsed="false">
      <c r="A66" s="44" t="s">
        <v>259</v>
      </c>
      <c r="B66" s="44"/>
      <c r="C66" s="45" t="n">
        <f aca="false">SUMPRODUCT((CONCENTRADO!AR3:AR3="004")*CONCENTRADO!AR7:AR33)</f>
        <v>0</v>
      </c>
    </row>
    <row r="67" customFormat="false" ht="15" hidden="false" customHeight="true" outlineLevel="0" collapsed="false">
      <c r="A67" s="44" t="s">
        <v>260</v>
      </c>
      <c r="B67" s="44"/>
      <c r="C67" s="45" t="n">
        <f aca="false">SUMPRODUCT((CONCENTRADO!AR3:AR3="005")*CONCENTRADO!AR7:AR33)</f>
        <v>0</v>
      </c>
    </row>
  </sheetData>
  <mergeCells count="57">
    <mergeCell ref="A1:C1"/>
    <mergeCell ref="A7:C7"/>
    <mergeCell ref="A8:B8"/>
    <mergeCell ref="A9:B9"/>
    <mergeCell ref="A10:B10"/>
    <mergeCell ref="A11:B11"/>
    <mergeCell ref="A12:B12"/>
    <mergeCell ref="A13:B13"/>
    <mergeCell ref="A14:C14"/>
    <mergeCell ref="A15:B15"/>
    <mergeCell ref="A16:B16"/>
    <mergeCell ref="A17:B17"/>
    <mergeCell ref="A18:B18"/>
    <mergeCell ref="A19:B19"/>
    <mergeCell ref="A20:B20"/>
    <mergeCell ref="A21:C21"/>
    <mergeCell ref="A22:B22"/>
    <mergeCell ref="A23:B23"/>
    <mergeCell ref="A24:B24"/>
    <mergeCell ref="A25:B25"/>
    <mergeCell ref="A26:B26"/>
    <mergeCell ref="A28:C28"/>
    <mergeCell ref="A29:B29"/>
    <mergeCell ref="A30:B30"/>
    <mergeCell ref="A31:B31"/>
    <mergeCell ref="A33:C33"/>
    <mergeCell ref="A34:B34"/>
    <mergeCell ref="A35:B35"/>
    <mergeCell ref="A36:B36"/>
    <mergeCell ref="A37:B37"/>
    <mergeCell ref="A38:B38"/>
    <mergeCell ref="A39:B39"/>
    <mergeCell ref="A40:B40"/>
    <mergeCell ref="A41:B41"/>
    <mergeCell ref="A42:B42"/>
    <mergeCell ref="A43:B43"/>
    <mergeCell ref="A45:C45"/>
    <mergeCell ref="A46:B46"/>
    <mergeCell ref="A47:B47"/>
    <mergeCell ref="A48:B48"/>
    <mergeCell ref="A49:B49"/>
    <mergeCell ref="A50:B50"/>
    <mergeCell ref="A51:B51"/>
    <mergeCell ref="A53:C53"/>
    <mergeCell ref="A54:B54"/>
    <mergeCell ref="A55:B55"/>
    <mergeCell ref="A56:B56"/>
    <mergeCell ref="A57:B57"/>
    <mergeCell ref="A58:B58"/>
    <mergeCell ref="A59:B59"/>
    <mergeCell ref="A61:C61"/>
    <mergeCell ref="A62:B62"/>
    <mergeCell ref="A63:B63"/>
    <mergeCell ref="A64:B64"/>
    <mergeCell ref="A65:B65"/>
    <mergeCell ref="A66:B66"/>
    <mergeCell ref="A67:B6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6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A1" activeCellId="0" sqref="A1"/>
    </sheetView>
  </sheetViews>
  <sheetFormatPr defaultColWidth="8.6796875" defaultRowHeight="15" zeroHeight="false" outlineLevelRow="0" outlineLevelCol="0"/>
  <cols>
    <col collapsed="false" customWidth="true" hidden="false" outlineLevel="0" max="1" min="1" style="1" width="2.71"/>
    <col collapsed="false" customWidth="true" hidden="false" outlineLevel="0" max="2" min="2" style="1" width="58.71"/>
    <col collapsed="false" customWidth="true" hidden="false" outlineLevel="0" max="3" min="3" style="1" width="20.71"/>
  </cols>
  <sheetData>
    <row r="1" customFormat="false" ht="27.75" hidden="false" customHeight="true" outlineLevel="0" collapsed="false">
      <c r="A1" s="40" t="s">
        <v>199</v>
      </c>
      <c r="B1" s="40"/>
      <c r="C1" s="40"/>
    </row>
    <row r="2" customFormat="false" ht="15" hidden="false" customHeight="true" outlineLevel="0" collapsed="false">
      <c r="B2" s="41" t="s">
        <v>200</v>
      </c>
      <c r="C2" s="42" t="s">
        <v>7</v>
      </c>
    </row>
    <row r="3" customFormat="false" ht="15" hidden="false" customHeight="true" outlineLevel="0" collapsed="false">
      <c r="B3" s="41" t="s">
        <v>201</v>
      </c>
      <c r="C3" s="42" t="s">
        <v>138</v>
      </c>
    </row>
    <row r="4" customFormat="false" ht="15" hidden="false" customHeight="true" outlineLevel="0" collapsed="false">
      <c r="B4" s="41" t="s">
        <v>202</v>
      </c>
      <c r="C4" s="42" t="s">
        <v>137</v>
      </c>
    </row>
    <row r="5" customFormat="false" ht="15" hidden="false" customHeight="true" outlineLevel="0" collapsed="false">
      <c r="B5" s="41" t="s">
        <v>203</v>
      </c>
      <c r="C5" s="42" t="s">
        <v>204</v>
      </c>
    </row>
    <row r="7" customFormat="false" ht="21.75" hidden="false" customHeight="true" outlineLevel="0" collapsed="false">
      <c r="A7" s="43" t="s">
        <v>205</v>
      </c>
      <c r="B7" s="43"/>
      <c r="C7" s="43"/>
    </row>
    <row r="8" customFormat="false" ht="15" hidden="false" customHeight="true" outlineLevel="0" collapsed="false">
      <c r="A8" s="44" t="s">
        <v>206</v>
      </c>
      <c r="B8" s="44"/>
      <c r="C8" s="45" t="n">
        <f aca="false">(SUMPRODUCT((1-ISNUMBER(MATCH(CONCENTRADO!Q3:Y3,{"022","023","025","039","044","046"},0)))*CONCENTRADO!Q7:Y33))+(SUMPRODUCT((1-ISNUMBER(MATCH(CONCENTRADO!AA3:AG3,{"022","023","025","039","044","046"},0)))*CONCENTRADO!AA7:AG33))</f>
        <v>416899.96</v>
      </c>
    </row>
    <row r="9" customFormat="false" ht="15" hidden="false" customHeight="true" outlineLevel="0" collapsed="false">
      <c r="A9" s="46" t="s">
        <v>207</v>
      </c>
      <c r="B9" s="46"/>
      <c r="C9" s="47" t="n">
        <f aca="false">(SUMPRODUCT((1-ISNUMBER(MATCH(CONCENTRADO!Q3:Y3,{"022","023","025","039","044","046"},0)))*CONCENTRADO!Q7:Y33))+(SUMPRODUCT((1-ISNUMBER(MATCH(CONCENTRADO!AA3:AG3,{"022","023","025","039","044","046"},0)))*CONCENTRADO!AA7:AG33))</f>
        <v>416899.96</v>
      </c>
    </row>
    <row r="10" customFormat="false" ht="15" hidden="false" customHeight="true" outlineLevel="0" collapsed="false">
      <c r="A10" s="46" t="s">
        <v>208</v>
      </c>
      <c r="B10" s="46"/>
      <c r="C10" s="47" t="n">
        <v>0</v>
      </c>
    </row>
    <row r="11" customFormat="false" ht="15" hidden="false" customHeight="true" outlineLevel="0" collapsed="false">
      <c r="A11" s="44" t="s">
        <v>209</v>
      </c>
      <c r="B11" s="44"/>
      <c r="C11" s="45" t="n">
        <f aca="false">SUMPRODUCT((1-ISNUMBER(MATCH(CONCENTRADO!AA3:AG3,{"022","023","025","039","044","046"},0)))*CONCENTRADO!AA7:AG33)</f>
        <v>40210.81</v>
      </c>
    </row>
    <row r="12" customFormat="false" ht="15" hidden="false" customHeight="true" outlineLevel="0" collapsed="false">
      <c r="A12" s="46" t="s">
        <v>210</v>
      </c>
      <c r="B12" s="46"/>
      <c r="C12" s="47" t="n">
        <f aca="false">SUMPRODUCT((1-ISNUMBER(MATCH(CONCENTRADO!AA3:AG3,{"022","023","025","039","044","046"},0)))*CONCENTRADO!AA7:AG33)</f>
        <v>40210.81</v>
      </c>
    </row>
    <row r="13" customFormat="false" ht="15" hidden="false" customHeight="true" outlineLevel="0" collapsed="false">
      <c r="A13" s="46" t="s">
        <v>211</v>
      </c>
      <c r="B13" s="46"/>
      <c r="C13" s="47" t="n">
        <v>0</v>
      </c>
    </row>
    <row r="14" customFormat="false" ht="15" hidden="false" customHeight="true" outlineLevel="0" collapsed="false">
      <c r="A14" s="48" t="s">
        <v>212</v>
      </c>
      <c r="B14" s="48"/>
      <c r="C14" s="48"/>
    </row>
    <row r="15" customFormat="false" ht="15" hidden="false" customHeight="true" outlineLevel="0" collapsed="false">
      <c r="A15" s="46" t="s">
        <v>213</v>
      </c>
      <c r="B15" s="46"/>
      <c r="C15" s="47" t="n">
        <f aca="false">SUMPRODUCT((CONCENTRADO!AA3:AG3="002")*CONCENTRADO!AA7:AG33)</f>
        <v>3394.2</v>
      </c>
    </row>
    <row r="16" customFormat="false" ht="15" hidden="false" customHeight="true" outlineLevel="0" collapsed="false">
      <c r="A16" s="46" t="s">
        <v>214</v>
      </c>
      <c r="B16" s="46"/>
      <c r="C16" s="47" t="n">
        <f aca="false">SUMPRODUCT((CONCENTRADO!AA3:AG3="021")*CONCENTRADO!AA7:AG33)</f>
        <v>1628.55</v>
      </c>
    </row>
    <row r="17" customFormat="false" ht="15" hidden="false" customHeight="true" outlineLevel="0" collapsed="false">
      <c r="A17" s="46" t="s">
        <v>215</v>
      </c>
      <c r="B17" s="46"/>
      <c r="C17" s="47" t="n">
        <f aca="false">SUMPRODUCT((CONCENTRADO!AA3:AG3="020")*CONCENTRADO!AA7:AG33)</f>
        <v>2149.66</v>
      </c>
    </row>
    <row r="18" customFormat="false" ht="15" hidden="false" customHeight="true" outlineLevel="0" collapsed="false">
      <c r="A18" s="46" t="s">
        <v>216</v>
      </c>
      <c r="B18" s="46"/>
      <c r="C18" s="47" t="n">
        <f aca="false">SUMPRODUCT((CONCENTRADO!AA3:AG3="003")*CONCENTRADO!AA7:AG33)</f>
        <v>0</v>
      </c>
    </row>
    <row r="19" customFormat="false" ht="15" hidden="false" customHeight="true" outlineLevel="0" collapsed="false">
      <c r="A19" s="46" t="s">
        <v>217</v>
      </c>
      <c r="B19" s="46"/>
      <c r="C19" s="47" t="n">
        <f aca="false">SUMPRODUCT((--ISNUMBER(MATCH(CONCENTRADO!AA3:AG3,{"004","005","006","011","012","013","014","015","024","026","027","029","030","033","034","035","036","037","047"},0)))*CONCENTRADO!AA7:AG33)</f>
        <v>33038.4</v>
      </c>
    </row>
    <row r="20" customFormat="false" ht="15" hidden="false" customHeight="true" outlineLevel="0" collapsed="false">
      <c r="A20" s="46" t="s">
        <v>218</v>
      </c>
      <c r="B20" s="46"/>
      <c r="C20" s="47" t="n">
        <f aca="false">SUMPRODUCT((1-ISNUMBER(MATCH(CONCENTRADO!AA3:AG3,{"002","003","004","005","006","011","012","013","014","015","020","021","022","023","024","025","026","027","029","030","033","034","035","036","037","039","044","046","047"},0)))*CONCENTRADO!AA7:AG33)</f>
        <v>0</v>
      </c>
    </row>
    <row r="21" customFormat="false" ht="15" hidden="false" customHeight="true" outlineLevel="0" collapsed="false">
      <c r="A21" s="48" t="s">
        <v>219</v>
      </c>
      <c r="B21" s="48"/>
      <c r="C21" s="48"/>
    </row>
    <row r="22" customFormat="false" ht="15" hidden="false" customHeight="true" outlineLevel="0" collapsed="false">
      <c r="A22" s="46" t="s">
        <v>220</v>
      </c>
      <c r="B22" s="46"/>
      <c r="C22" s="47" t="n">
        <v>0</v>
      </c>
    </row>
    <row r="23" customFormat="false" ht="15" hidden="false" customHeight="true" outlineLevel="0" collapsed="false">
      <c r="A23" s="46" t="s">
        <v>221</v>
      </c>
      <c r="B23" s="46"/>
      <c r="C23" s="47" t="n">
        <f aca="false">SUMPRODUCT((CONCENTRADO!AJ3:AP3="071")*CONCENTRADO!AJ7:AP33)</f>
        <v>0</v>
      </c>
    </row>
    <row r="24" customFormat="false" ht="15" hidden="false" customHeight="true" outlineLevel="0" collapsed="false">
      <c r="A24" s="46" t="s">
        <v>222</v>
      </c>
      <c r="B24" s="46"/>
      <c r="C24" s="47" t="n">
        <f aca="false">SUMPRODUCT((CONCENTRADO!AR3:AR3="002")*CONCENTRADO!AR7:AR33)</f>
        <v>0</v>
      </c>
    </row>
    <row r="25" customFormat="false" ht="15" hidden="false" customHeight="true" outlineLevel="0" collapsed="false">
      <c r="A25" s="46" t="s">
        <v>223</v>
      </c>
      <c r="B25" s="46"/>
      <c r="C25" s="47" t="n">
        <f aca="false">SUMPRODUCT((CONCENTRADO!AR3:AR3="002")*CONCENTRADO!AR7:AR33)</f>
        <v>0</v>
      </c>
    </row>
    <row r="26" customFormat="false" ht="15" hidden="false" customHeight="true" outlineLevel="0" collapsed="false">
      <c r="A26" s="46" t="s">
        <v>224</v>
      </c>
      <c r="B26" s="46"/>
      <c r="C26" s="47" t="n">
        <v>0</v>
      </c>
    </row>
    <row r="28" customFormat="false" ht="21.75" hidden="false" customHeight="true" outlineLevel="0" collapsed="false">
      <c r="A28" s="43" t="s">
        <v>225</v>
      </c>
      <c r="B28" s="43"/>
      <c r="C28" s="43"/>
    </row>
    <row r="29" customFormat="false" ht="15" hidden="false" customHeight="true" outlineLevel="0" collapsed="false">
      <c r="A29" s="44" t="s">
        <v>226</v>
      </c>
      <c r="B29" s="44"/>
      <c r="C29" s="45" t="n">
        <f aca="false">(SUMPRODUCT((CONCENTRADO!Q3:Y3="046")*CONCENTRADO!Q7:Y33))+(SUMPRODUCT((CONCENTRADO!AA3:AG3="046")*CONCENTRADO!AA7:AG33))</f>
        <v>0</v>
      </c>
    </row>
    <row r="30" customFormat="false" ht="15" hidden="false" customHeight="true" outlineLevel="0" collapsed="false">
      <c r="A30" s="46" t="s">
        <v>227</v>
      </c>
      <c r="B30" s="46"/>
      <c r="C30" s="47" t="n">
        <f aca="false">(SUMPRODUCT((CONCENTRADO!Q3:Y3="046")*CONCENTRADO!Q7:Y33))+(SUMPRODUCT((CONCENTRADO!AA3:AG3="046")*CONCENTRADO!AA7:AG33))</f>
        <v>0</v>
      </c>
    </row>
    <row r="31" customFormat="false" ht="15" hidden="false" customHeight="true" outlineLevel="0" collapsed="false">
      <c r="A31" s="46" t="s">
        <v>228</v>
      </c>
      <c r="B31" s="46"/>
      <c r="C31" s="47" t="n">
        <v>0</v>
      </c>
    </row>
    <row r="33" customFormat="false" ht="21.75" hidden="false" customHeight="true" outlineLevel="0" collapsed="false">
      <c r="A33" s="43" t="s">
        <v>229</v>
      </c>
      <c r="B33" s="43"/>
      <c r="C33" s="43"/>
    </row>
    <row r="34" customFormat="false" ht="15" hidden="false" customHeight="true" outlineLevel="0" collapsed="false">
      <c r="A34" s="44" t="s">
        <v>230</v>
      </c>
      <c r="B34" s="44"/>
      <c r="C34" s="45" t="n">
        <f aca="false">(SUMPRODUCT((--ISNUMBER(MATCH(CONCENTRADO!Q3:Y3,{"022","023","025"},0)))*CONCENTRADO!Q7:Y33))+(SUMPRODUCT((--ISNUMBER(MATCH(CONCENTRADO!AA3:AG3,{"022","023","025"},0)))*CONCENTRADO!AA7:AG33))</f>
        <v>0</v>
      </c>
    </row>
    <row r="35" customFormat="false" ht="15" hidden="false" customHeight="true" outlineLevel="0" collapsed="false">
      <c r="A35" s="46" t="s">
        <v>231</v>
      </c>
      <c r="B35" s="46"/>
      <c r="C35" s="47" t="n">
        <f aca="false">(SUMPRODUCT((--ISNUMBER(MATCH(CONCENTRADO!Q3:Y3,{"022","023","025"},0)))*CONCENTRADO!Q7:Y33))+(SUMPRODUCT((--ISNUMBER(MATCH(CONCENTRADO!AA3:AG3,{"022","023","025"},0)))*CONCENTRADO!AA7:AG33))</f>
        <v>0</v>
      </c>
    </row>
    <row r="36" customFormat="false" ht="15" hidden="false" customHeight="true" outlineLevel="0" collapsed="false">
      <c r="A36" s="46" t="s">
        <v>232</v>
      </c>
      <c r="B36" s="46"/>
      <c r="C36" s="47" t="n">
        <v>0</v>
      </c>
    </row>
    <row r="37" customFormat="false" ht="15" hidden="false" customHeight="true" outlineLevel="0" collapsed="false">
      <c r="A37" s="44" t="s">
        <v>233</v>
      </c>
      <c r="B37" s="44"/>
      <c r="C37" s="45" t="n">
        <f aca="false">SUMPRODUCT((--ISNUMBER(MATCH(CONCENTRADO!AA3:AG3,{"022","023","025"},0)))*CONCENTRADO!AA7:AG33)</f>
        <v>0</v>
      </c>
    </row>
    <row r="38" customFormat="false" ht="15" hidden="false" customHeight="true" outlineLevel="0" collapsed="false">
      <c r="A38" s="46" t="s">
        <v>234</v>
      </c>
      <c r="B38" s="46"/>
      <c r="C38" s="47" t="n">
        <f aca="false">SUMPRODUCT((--ISNUMBER(MATCH(CONCENTRADO!AA3:AG3,{"022","023","025"},0)))*CONCENTRADO!AA7:AG33)</f>
        <v>0</v>
      </c>
    </row>
    <row r="39" customFormat="false" ht="15" hidden="false" customHeight="true" outlineLevel="0" collapsed="false">
      <c r="A39" s="46" t="s">
        <v>235</v>
      </c>
      <c r="B39" s="46"/>
      <c r="C39" s="47" t="n">
        <v>0</v>
      </c>
    </row>
    <row r="40" customFormat="false" ht="15" hidden="false" customHeight="true" outlineLevel="0" collapsed="false">
      <c r="A40" s="44" t="s">
        <v>236</v>
      </c>
      <c r="B40" s="44"/>
      <c r="C40" s="45" t="n">
        <v>0</v>
      </c>
    </row>
    <row r="41" customFormat="false" ht="15" hidden="false" customHeight="true" outlineLevel="0" collapsed="false">
      <c r="A41" s="46" t="s">
        <v>237</v>
      </c>
      <c r="B41" s="46"/>
      <c r="C41" s="47" t="n">
        <v>0</v>
      </c>
    </row>
    <row r="42" customFormat="false" ht="15" hidden="false" customHeight="true" outlineLevel="0" collapsed="false">
      <c r="A42" s="46" t="s">
        <v>238</v>
      </c>
      <c r="B42" s="46"/>
      <c r="C42" s="47" t="n">
        <v>0</v>
      </c>
    </row>
    <row r="43" customFormat="false" ht="15" hidden="false" customHeight="true" outlineLevel="0" collapsed="false">
      <c r="A43" s="44" t="s">
        <v>239</v>
      </c>
      <c r="B43" s="44"/>
      <c r="C43" s="49" t="n">
        <v>0</v>
      </c>
    </row>
    <row r="45" customFormat="false" ht="21.75" hidden="false" customHeight="true" outlineLevel="0" collapsed="false">
      <c r="A45" s="43" t="s">
        <v>240</v>
      </c>
      <c r="B45" s="43"/>
      <c r="C45" s="43"/>
    </row>
    <row r="46" customFormat="false" ht="15" hidden="false" customHeight="true" outlineLevel="0" collapsed="false">
      <c r="A46" s="44" t="s">
        <v>241</v>
      </c>
      <c r="B46" s="44"/>
      <c r="C46" s="45" t="n">
        <f aca="false">(SUMPRODUCT((CONCENTRADO!Q3:Y3="044")*CONCENTRADO!Q7:Y33))+(SUMPRODUCT((CONCENTRADO!AA3:AG3="044")*CONCENTRADO!AA7:AG33))</f>
        <v>0</v>
      </c>
    </row>
    <row r="47" customFormat="false" ht="15" hidden="false" customHeight="true" outlineLevel="0" collapsed="false">
      <c r="A47" s="46" t="s">
        <v>242</v>
      </c>
      <c r="B47" s="46"/>
      <c r="C47" s="47" t="n">
        <v>0</v>
      </c>
    </row>
    <row r="48" customFormat="false" ht="15" hidden="false" customHeight="true" outlineLevel="0" collapsed="false">
      <c r="A48" s="46" t="s">
        <v>243</v>
      </c>
      <c r="B48" s="46"/>
      <c r="C48" s="47" t="n">
        <f aca="false">(SUMPRODUCT((CONCENTRADO!AJ3:AP3="069")*CONCENTRADO!AJ7:AP33))+(SUMPRODUCT((CONCENTRADO!AJ3:AP3="070")*CONCENTRADO!AJ7:AP33))</f>
        <v>0</v>
      </c>
    </row>
    <row r="49" customFormat="false" ht="15" hidden="false" customHeight="true" outlineLevel="0" collapsed="false">
      <c r="A49" s="44" t="s">
        <v>244</v>
      </c>
      <c r="B49" s="44"/>
      <c r="C49" s="45" t="n">
        <f aca="false">SUMPRODUCT((CONCENTRADO!AA3:AG3="044")*CONCENTRADO!AA7:AG33)</f>
        <v>0</v>
      </c>
    </row>
    <row r="50" customFormat="false" ht="15" hidden="false" customHeight="true" outlineLevel="0" collapsed="false">
      <c r="A50" s="46" t="s">
        <v>245</v>
      </c>
      <c r="B50" s="46"/>
      <c r="C50" s="47" t="n">
        <f aca="false">SUMPRODUCT((CONCENTRADO!AA3:AG3="044")*CONCENTRADO!AA7:AG33)</f>
        <v>0</v>
      </c>
    </row>
    <row r="51" customFormat="false" ht="15" hidden="false" customHeight="true" outlineLevel="0" collapsed="false">
      <c r="A51" s="46" t="s">
        <v>246</v>
      </c>
      <c r="B51" s="46"/>
      <c r="C51" s="47" t="n">
        <f aca="false">SUMPRODUCT((CONCENTRADO!AJ3:AP3="069")*CONCENTRADO!AJ7:AP33)</f>
        <v>0</v>
      </c>
    </row>
    <row r="53" customFormat="false" ht="21.75" hidden="false" customHeight="true" outlineLevel="0" collapsed="false">
      <c r="A53" s="43" t="s">
        <v>247</v>
      </c>
      <c r="B53" s="43"/>
      <c r="C53" s="43"/>
    </row>
    <row r="54" customFormat="false" ht="15" hidden="false" customHeight="true" outlineLevel="0" collapsed="false">
      <c r="A54" s="44" t="s">
        <v>248</v>
      </c>
      <c r="B54" s="44"/>
      <c r="C54" s="45" t="n">
        <f aca="false">(SUMPRODUCT((CONCENTRADO!Q3:Y3="039")*CONCENTRADO!Q7:Y33))+(SUMPRODUCT((CONCENTRADO!AA3:AG3="039")*CONCENTRADO!AA7:AG33))</f>
        <v>0</v>
      </c>
    </row>
    <row r="55" customFormat="false" ht="15" hidden="false" customHeight="true" outlineLevel="0" collapsed="false">
      <c r="A55" s="46" t="s">
        <v>249</v>
      </c>
      <c r="B55" s="46"/>
      <c r="C55" s="47" t="n">
        <v>0</v>
      </c>
    </row>
    <row r="56" customFormat="false" ht="15" hidden="false" customHeight="true" outlineLevel="0" collapsed="false">
      <c r="A56" s="46" t="s">
        <v>250</v>
      </c>
      <c r="B56" s="46"/>
      <c r="C56" s="47" t="n">
        <f aca="false">(SUMPRODUCT((CONCENTRADO!AJ3:AP3="065")*CONCENTRADO!AJ7:AP33))+(SUMPRODUCT((CONCENTRADO!AJ3:AP3="066")*CONCENTRADO!AJ7:AP33))</f>
        <v>0</v>
      </c>
    </row>
    <row r="57" customFormat="false" ht="15" hidden="false" customHeight="true" outlineLevel="0" collapsed="false">
      <c r="A57" s="44" t="s">
        <v>251</v>
      </c>
      <c r="B57" s="44"/>
      <c r="C57" s="45" t="n">
        <f aca="false">SUMPRODUCT((CONCENTRADO!AA3:AG3="039")*CONCENTRADO!AA7:AG33)</f>
        <v>0</v>
      </c>
    </row>
    <row r="58" customFormat="false" ht="15" hidden="false" customHeight="true" outlineLevel="0" collapsed="false">
      <c r="A58" s="46" t="s">
        <v>252</v>
      </c>
      <c r="B58" s="46"/>
      <c r="C58" s="47" t="n">
        <f aca="false">SUMPRODUCT((CONCENTRADO!AA3:AG3="039")*CONCENTRADO!AA7:AG33)</f>
        <v>0</v>
      </c>
    </row>
    <row r="59" customFormat="false" ht="15" hidden="false" customHeight="true" outlineLevel="0" collapsed="false">
      <c r="A59" s="46" t="s">
        <v>253</v>
      </c>
      <c r="B59" s="46"/>
      <c r="C59" s="47" t="n">
        <f aca="false">SUMPRODUCT((CONCENTRADO!AJ3:AP3="065")*CONCENTRADO!AJ7:AP33)</f>
        <v>0</v>
      </c>
    </row>
    <row r="61" customFormat="false" ht="21.75" hidden="false" customHeight="true" outlineLevel="0" collapsed="false">
      <c r="A61" s="43" t="s">
        <v>254</v>
      </c>
      <c r="B61" s="43"/>
      <c r="C61" s="43"/>
    </row>
    <row r="62" customFormat="false" ht="15" hidden="false" customHeight="true" outlineLevel="0" collapsed="false">
      <c r="A62" s="44" t="s">
        <v>255</v>
      </c>
      <c r="B62" s="44"/>
      <c r="C62" s="45" t="n">
        <f aca="false">SUMPRODUCT((CONCENTRADO!AJ3:AP3="002")*CONCENTRADO!AJ7:AP33)-(SUMPRODUCT((CONCENTRADO!AR3:AR3="001")*CONCENTRADO!AR7:AR33))</f>
        <v>59948.37</v>
      </c>
    </row>
    <row r="63" customFormat="false" ht="15" hidden="false" customHeight="true" outlineLevel="0" collapsed="false">
      <c r="A63" s="46" t="s">
        <v>256</v>
      </c>
      <c r="B63" s="46"/>
      <c r="C63" s="47" t="n">
        <f aca="false">SUMPRODUCT((CONCENTRADO!AJ3:AP3="002")*CONCENTRADO!AJ7:AP33)</f>
        <v>59948.37</v>
      </c>
    </row>
    <row r="64" customFormat="false" ht="15" hidden="false" customHeight="true" outlineLevel="0" collapsed="false">
      <c r="A64" s="46" t="s">
        <v>257</v>
      </c>
      <c r="B64" s="46"/>
      <c r="C64" s="47" t="n">
        <f aca="false">SUMPRODUCT((CONCENTRADO!AR3:AR3="001")*CONCENTRADO!AR7:AR33)</f>
        <v>0</v>
      </c>
    </row>
    <row r="65" customFormat="false" ht="15" hidden="false" customHeight="true" outlineLevel="0" collapsed="false">
      <c r="A65" s="44" t="s">
        <v>258</v>
      </c>
      <c r="B65" s="44"/>
      <c r="C65" s="45" t="n">
        <f aca="false">SUMPRODUCT((CONCENTRADO!AJ3:AP3="101")*CONCENTRADO!AJ7:AP33)</f>
        <v>0</v>
      </c>
    </row>
    <row r="66" customFormat="false" ht="15" hidden="false" customHeight="true" outlineLevel="0" collapsed="false">
      <c r="A66" s="44" t="s">
        <v>259</v>
      </c>
      <c r="B66" s="44"/>
      <c r="C66" s="45" t="n">
        <f aca="false">SUMPRODUCT((CONCENTRADO!AR3:AR3="004")*CONCENTRADO!AR7:AR33)</f>
        <v>0</v>
      </c>
    </row>
    <row r="67" customFormat="false" ht="15" hidden="false" customHeight="true" outlineLevel="0" collapsed="false">
      <c r="A67" s="44" t="s">
        <v>260</v>
      </c>
      <c r="B67" s="44"/>
      <c r="C67" s="45" t="n">
        <f aca="false">SUMPRODUCT((CONCENTRADO!AR3:AR3="005")*CONCENTRADO!AR7:AR33)</f>
        <v>0</v>
      </c>
    </row>
  </sheetData>
  <mergeCells count="57">
    <mergeCell ref="A1:C1"/>
    <mergeCell ref="A7:C7"/>
    <mergeCell ref="A8:B8"/>
    <mergeCell ref="A9:B9"/>
    <mergeCell ref="A10:B10"/>
    <mergeCell ref="A11:B11"/>
    <mergeCell ref="A12:B12"/>
    <mergeCell ref="A13:B13"/>
    <mergeCell ref="A14:C14"/>
    <mergeCell ref="A15:B15"/>
    <mergeCell ref="A16:B16"/>
    <mergeCell ref="A17:B17"/>
    <mergeCell ref="A18:B18"/>
    <mergeCell ref="A19:B19"/>
    <mergeCell ref="A20:B20"/>
    <mergeCell ref="A21:C21"/>
    <mergeCell ref="A22:B22"/>
    <mergeCell ref="A23:B23"/>
    <mergeCell ref="A24:B24"/>
    <mergeCell ref="A25:B25"/>
    <mergeCell ref="A26:B26"/>
    <mergeCell ref="A28:C28"/>
    <mergeCell ref="A29:B29"/>
    <mergeCell ref="A30:B30"/>
    <mergeCell ref="A31:B31"/>
    <mergeCell ref="A33:C33"/>
    <mergeCell ref="A34:B34"/>
    <mergeCell ref="A35:B35"/>
    <mergeCell ref="A36:B36"/>
    <mergeCell ref="A37:B37"/>
    <mergeCell ref="A38:B38"/>
    <mergeCell ref="A39:B39"/>
    <mergeCell ref="A40:B40"/>
    <mergeCell ref="A41:B41"/>
    <mergeCell ref="A42:B42"/>
    <mergeCell ref="A43:B43"/>
    <mergeCell ref="A45:C45"/>
    <mergeCell ref="A46:B46"/>
    <mergeCell ref="A47:B47"/>
    <mergeCell ref="A48:B48"/>
    <mergeCell ref="A49:B49"/>
    <mergeCell ref="A50:B50"/>
    <mergeCell ref="A51:B51"/>
    <mergeCell ref="A53:C53"/>
    <mergeCell ref="A54:B54"/>
    <mergeCell ref="A55:B55"/>
    <mergeCell ref="A56:B56"/>
    <mergeCell ref="A57:B57"/>
    <mergeCell ref="A58:B58"/>
    <mergeCell ref="A59:B59"/>
    <mergeCell ref="A61:C61"/>
    <mergeCell ref="A62:B62"/>
    <mergeCell ref="A63:B63"/>
    <mergeCell ref="A64:B64"/>
    <mergeCell ref="A65:B65"/>
    <mergeCell ref="A66:B66"/>
    <mergeCell ref="A67:B6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6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A1" activeCellId="0" sqref="A1"/>
    </sheetView>
  </sheetViews>
  <sheetFormatPr defaultColWidth="8.6796875" defaultRowHeight="15" zeroHeight="false" outlineLevelRow="0" outlineLevelCol="0"/>
  <cols>
    <col collapsed="false" customWidth="true" hidden="false" outlineLevel="0" max="1" min="1" style="1" width="2.71"/>
    <col collapsed="false" customWidth="true" hidden="false" outlineLevel="0" max="2" min="2" style="1" width="58.71"/>
    <col collapsed="false" customWidth="true" hidden="false" outlineLevel="0" max="3" min="3" style="1" width="20.71"/>
  </cols>
  <sheetData>
    <row r="1" customFormat="false" ht="27.75" hidden="false" customHeight="true" outlineLevel="0" collapsed="false">
      <c r="A1" s="40" t="s">
        <v>199</v>
      </c>
      <c r="B1" s="40"/>
      <c r="C1" s="40"/>
    </row>
    <row r="2" customFormat="false" ht="15" hidden="false" customHeight="true" outlineLevel="0" collapsed="false">
      <c r="B2" s="41" t="s">
        <v>200</v>
      </c>
      <c r="C2" s="42" t="s">
        <v>7</v>
      </c>
    </row>
    <row r="3" customFormat="false" ht="15" hidden="false" customHeight="true" outlineLevel="0" collapsed="false">
      <c r="B3" s="41" t="s">
        <v>201</v>
      </c>
      <c r="C3" s="42" t="s">
        <v>172</v>
      </c>
    </row>
    <row r="4" customFormat="false" ht="15" hidden="false" customHeight="true" outlineLevel="0" collapsed="false">
      <c r="B4" s="41" t="s">
        <v>202</v>
      </c>
      <c r="C4" s="42" t="s">
        <v>171</v>
      </c>
    </row>
    <row r="5" customFormat="false" ht="15" hidden="false" customHeight="true" outlineLevel="0" collapsed="false">
      <c r="B5" s="41" t="s">
        <v>203</v>
      </c>
      <c r="C5" s="42" t="s">
        <v>261</v>
      </c>
    </row>
    <row r="7" customFormat="false" ht="21.75" hidden="false" customHeight="true" outlineLevel="0" collapsed="false">
      <c r="A7" s="43" t="s">
        <v>205</v>
      </c>
      <c r="B7" s="43"/>
      <c r="C7" s="43"/>
    </row>
    <row r="8" customFormat="false" ht="15" hidden="false" customHeight="true" outlineLevel="0" collapsed="false">
      <c r="A8" s="44" t="s">
        <v>206</v>
      </c>
      <c r="B8" s="44"/>
      <c r="C8" s="45" t="n">
        <f aca="false">(SUMPRODUCT((1-ISNUMBER(MATCH(CONCENTRADO!Q3:Y3,{"022","023","025","039","044","046"},0)))*CONCENTRADO!Q35:Y59))+(SUMPRODUCT((1-ISNUMBER(MATCH(CONCENTRADO!AA3:AG3,{"022","023","025","039","044","046"},0)))*CONCENTRADO!AA35:AG59))</f>
        <v>0</v>
      </c>
    </row>
    <row r="9" customFormat="false" ht="15" hidden="false" customHeight="true" outlineLevel="0" collapsed="false">
      <c r="A9" s="46" t="s">
        <v>207</v>
      </c>
      <c r="B9" s="46"/>
      <c r="C9" s="47" t="n">
        <f aca="false">(SUMPRODUCT((1-ISNUMBER(MATCH(CONCENTRADO!Q3:Y3,{"022","023","025","039","044","046"},0)))*CONCENTRADO!Q35:Y59))+(SUMPRODUCT((1-ISNUMBER(MATCH(CONCENTRADO!AA3:AG3,{"022","023","025","039","044","046"},0)))*CONCENTRADO!AA35:AG59))</f>
        <v>0</v>
      </c>
    </row>
    <row r="10" customFormat="false" ht="15" hidden="false" customHeight="true" outlineLevel="0" collapsed="false">
      <c r="A10" s="46" t="s">
        <v>208</v>
      </c>
      <c r="B10" s="46"/>
      <c r="C10" s="47" t="n">
        <v>0</v>
      </c>
    </row>
    <row r="11" customFormat="false" ht="15" hidden="false" customHeight="true" outlineLevel="0" collapsed="false">
      <c r="A11" s="44" t="s">
        <v>209</v>
      </c>
      <c r="B11" s="44"/>
      <c r="C11" s="45" t="n">
        <f aca="false">SUMPRODUCT((1-ISNUMBER(MATCH(CONCENTRADO!AA3:AG3,{"022","023","025","039","044","046"},0)))*CONCENTRADO!AA35:AG59)</f>
        <v>0</v>
      </c>
    </row>
    <row r="12" customFormat="false" ht="15" hidden="false" customHeight="true" outlineLevel="0" collapsed="false">
      <c r="A12" s="46" t="s">
        <v>210</v>
      </c>
      <c r="B12" s="46"/>
      <c r="C12" s="47" t="n">
        <f aca="false">SUMPRODUCT((1-ISNUMBER(MATCH(CONCENTRADO!AA3:AG3,{"022","023","025","039","044","046"},0)))*CONCENTRADO!AA35:AG59)</f>
        <v>0</v>
      </c>
    </row>
    <row r="13" customFormat="false" ht="15" hidden="false" customHeight="true" outlineLevel="0" collapsed="false">
      <c r="A13" s="46" t="s">
        <v>211</v>
      </c>
      <c r="B13" s="46"/>
      <c r="C13" s="47" t="n">
        <v>0</v>
      </c>
    </row>
    <row r="14" customFormat="false" ht="15" hidden="false" customHeight="true" outlineLevel="0" collapsed="false">
      <c r="A14" s="48" t="s">
        <v>212</v>
      </c>
      <c r="B14" s="48"/>
      <c r="C14" s="48"/>
    </row>
    <row r="15" customFormat="false" ht="15" hidden="false" customHeight="true" outlineLevel="0" collapsed="false">
      <c r="A15" s="46" t="s">
        <v>213</v>
      </c>
      <c r="B15" s="46"/>
      <c r="C15" s="47" t="n">
        <f aca="false">SUMPRODUCT((CONCENTRADO!AA3:AG3="002")*CONCENTRADO!AA35:AG59)</f>
        <v>0</v>
      </c>
    </row>
    <row r="16" customFormat="false" ht="15" hidden="false" customHeight="true" outlineLevel="0" collapsed="false">
      <c r="A16" s="46" t="s">
        <v>214</v>
      </c>
      <c r="B16" s="46"/>
      <c r="C16" s="47" t="n">
        <f aca="false">SUMPRODUCT((CONCENTRADO!AA3:AG3="021")*CONCENTRADO!AA35:AG59)</f>
        <v>0</v>
      </c>
    </row>
    <row r="17" customFormat="false" ht="15" hidden="false" customHeight="true" outlineLevel="0" collapsed="false">
      <c r="A17" s="46" t="s">
        <v>215</v>
      </c>
      <c r="B17" s="46"/>
      <c r="C17" s="47" t="n">
        <f aca="false">SUMPRODUCT((CONCENTRADO!AA3:AG3="020")*CONCENTRADO!AA35:AG59)</f>
        <v>0</v>
      </c>
    </row>
    <row r="18" customFormat="false" ht="15" hidden="false" customHeight="true" outlineLevel="0" collapsed="false">
      <c r="A18" s="46" t="s">
        <v>216</v>
      </c>
      <c r="B18" s="46"/>
      <c r="C18" s="47" t="n">
        <f aca="false">SUMPRODUCT((CONCENTRADO!AA3:AG3="003")*CONCENTRADO!AA35:AG59)</f>
        <v>0</v>
      </c>
    </row>
    <row r="19" customFormat="false" ht="15" hidden="false" customHeight="true" outlineLevel="0" collapsed="false">
      <c r="A19" s="46" t="s">
        <v>217</v>
      </c>
      <c r="B19" s="46"/>
      <c r="C19" s="47" t="n">
        <f aca="false">SUMPRODUCT((--ISNUMBER(MATCH(CONCENTRADO!AA3:AG3,{"004","005","006","011","012","013","014","015","024","026","027","029","030","033","034","035","036","037","047"},0)))*CONCENTRADO!AA35:AG59)</f>
        <v>0</v>
      </c>
    </row>
    <row r="20" customFormat="false" ht="15" hidden="false" customHeight="true" outlineLevel="0" collapsed="false">
      <c r="A20" s="46" t="s">
        <v>218</v>
      </c>
      <c r="B20" s="46"/>
      <c r="C20" s="47" t="n">
        <f aca="false">SUMPRODUCT((1-ISNUMBER(MATCH(CONCENTRADO!AA3:AG3,{"002","003","004","005","006","011","012","013","014","015","020","021","022","023","024","025","026","027","029","030","033","034","035","036","037","039","044","046","047"},0)))*CONCENTRADO!AA35:AG59)</f>
        <v>0</v>
      </c>
    </row>
    <row r="21" customFormat="false" ht="15" hidden="false" customHeight="true" outlineLevel="0" collapsed="false">
      <c r="A21" s="48" t="s">
        <v>219</v>
      </c>
      <c r="B21" s="48"/>
      <c r="C21" s="48"/>
    </row>
    <row r="22" customFormat="false" ht="15" hidden="false" customHeight="true" outlineLevel="0" collapsed="false">
      <c r="A22" s="46" t="s">
        <v>220</v>
      </c>
      <c r="B22" s="46"/>
      <c r="C22" s="47" t="n">
        <v>0</v>
      </c>
    </row>
    <row r="23" customFormat="false" ht="15" hidden="false" customHeight="true" outlineLevel="0" collapsed="false">
      <c r="A23" s="46" t="s">
        <v>221</v>
      </c>
      <c r="B23" s="46"/>
      <c r="C23" s="47" t="n">
        <f aca="false">SUMPRODUCT((CONCENTRADO!AJ3:AP3="071")*CONCENTRADO!AJ35:AP59)</f>
        <v>0</v>
      </c>
    </row>
    <row r="24" customFormat="false" ht="15" hidden="false" customHeight="true" outlineLevel="0" collapsed="false">
      <c r="A24" s="46" t="s">
        <v>222</v>
      </c>
      <c r="B24" s="46"/>
      <c r="C24" s="47" t="n">
        <f aca="false">SUMPRODUCT((CONCENTRADO!AR3:AR3="002")*CONCENTRADO!AR35:AR59)</f>
        <v>0</v>
      </c>
    </row>
    <row r="25" customFormat="false" ht="15" hidden="false" customHeight="true" outlineLevel="0" collapsed="false">
      <c r="A25" s="46" t="s">
        <v>223</v>
      </c>
      <c r="B25" s="46"/>
      <c r="C25" s="47" t="n">
        <f aca="false">SUMPRODUCT((CONCENTRADO!AR3:AR3="002")*CONCENTRADO!AR35:AR59)</f>
        <v>0</v>
      </c>
    </row>
    <row r="26" customFormat="false" ht="15" hidden="false" customHeight="true" outlineLevel="0" collapsed="false">
      <c r="A26" s="46" t="s">
        <v>224</v>
      </c>
      <c r="B26" s="46"/>
      <c r="C26" s="47" t="n">
        <v>0</v>
      </c>
    </row>
    <row r="28" customFormat="false" ht="21.75" hidden="false" customHeight="true" outlineLevel="0" collapsed="false">
      <c r="A28" s="43" t="s">
        <v>225</v>
      </c>
      <c r="B28" s="43"/>
      <c r="C28" s="43"/>
    </row>
    <row r="29" customFormat="false" ht="15" hidden="false" customHeight="true" outlineLevel="0" collapsed="false">
      <c r="A29" s="44" t="s">
        <v>226</v>
      </c>
      <c r="B29" s="44"/>
      <c r="C29" s="45" t="n">
        <f aca="false">(SUMPRODUCT((CONCENTRADO!Q3:Y3="046")*CONCENTRADO!Q35:Y59))+(SUMPRODUCT((CONCENTRADO!AA3:AG3="046")*CONCENTRADO!AA35:AG59))</f>
        <v>0</v>
      </c>
    </row>
    <row r="30" customFormat="false" ht="15" hidden="false" customHeight="true" outlineLevel="0" collapsed="false">
      <c r="A30" s="46" t="s">
        <v>227</v>
      </c>
      <c r="B30" s="46"/>
      <c r="C30" s="47" t="n">
        <f aca="false">(SUMPRODUCT((CONCENTRADO!Q3:Y3="046")*CONCENTRADO!Q35:Y59))+(SUMPRODUCT((CONCENTRADO!AA3:AG3="046")*CONCENTRADO!AA35:AG59))</f>
        <v>0</v>
      </c>
    </row>
    <row r="31" customFormat="false" ht="15" hidden="false" customHeight="true" outlineLevel="0" collapsed="false">
      <c r="A31" s="46" t="s">
        <v>228</v>
      </c>
      <c r="B31" s="46"/>
      <c r="C31" s="47" t="n">
        <v>0</v>
      </c>
    </row>
    <row r="33" customFormat="false" ht="21.75" hidden="false" customHeight="true" outlineLevel="0" collapsed="false">
      <c r="A33" s="43" t="s">
        <v>229</v>
      </c>
      <c r="B33" s="43"/>
      <c r="C33" s="43"/>
    </row>
    <row r="34" customFormat="false" ht="15" hidden="false" customHeight="true" outlineLevel="0" collapsed="false">
      <c r="A34" s="44" t="s">
        <v>230</v>
      </c>
      <c r="B34" s="44"/>
      <c r="C34" s="45" t="n">
        <f aca="false">(SUMPRODUCT((--ISNUMBER(MATCH(CONCENTRADO!Q3:Y3,{"022","023","025"},0)))*CONCENTRADO!Q35:Y59))+(SUMPRODUCT((--ISNUMBER(MATCH(CONCENTRADO!AA3:AG3,{"022","023","025"},0)))*CONCENTRADO!AA35:AG59))</f>
        <v>0</v>
      </c>
    </row>
    <row r="35" customFormat="false" ht="15" hidden="false" customHeight="true" outlineLevel="0" collapsed="false">
      <c r="A35" s="46" t="s">
        <v>231</v>
      </c>
      <c r="B35" s="46"/>
      <c r="C35" s="47" t="n">
        <f aca="false">(SUMPRODUCT((--ISNUMBER(MATCH(CONCENTRADO!Q3:Y3,{"022","023","025"},0)))*CONCENTRADO!Q35:Y59))+(SUMPRODUCT((--ISNUMBER(MATCH(CONCENTRADO!AA3:AG3,{"022","023","025"},0)))*CONCENTRADO!AA35:AG59))</f>
        <v>0</v>
      </c>
    </row>
    <row r="36" customFormat="false" ht="15" hidden="false" customHeight="true" outlineLevel="0" collapsed="false">
      <c r="A36" s="46" t="s">
        <v>232</v>
      </c>
      <c r="B36" s="46"/>
      <c r="C36" s="47" t="n">
        <v>0</v>
      </c>
    </row>
    <row r="37" customFormat="false" ht="15" hidden="false" customHeight="true" outlineLevel="0" collapsed="false">
      <c r="A37" s="44" t="s">
        <v>233</v>
      </c>
      <c r="B37" s="44"/>
      <c r="C37" s="45" t="n">
        <f aca="false">SUMPRODUCT((--ISNUMBER(MATCH(CONCENTRADO!AA3:AG3,{"022","023","025"},0)))*CONCENTRADO!AA35:AG59)</f>
        <v>0</v>
      </c>
    </row>
    <row r="38" customFormat="false" ht="15" hidden="false" customHeight="true" outlineLevel="0" collapsed="false">
      <c r="A38" s="46" t="s">
        <v>234</v>
      </c>
      <c r="B38" s="46"/>
      <c r="C38" s="47" t="n">
        <f aca="false">SUMPRODUCT((--ISNUMBER(MATCH(CONCENTRADO!AA3:AG3,{"022","023","025"},0)))*CONCENTRADO!AA35:AG59)</f>
        <v>0</v>
      </c>
    </row>
    <row r="39" customFormat="false" ht="15" hidden="false" customHeight="true" outlineLevel="0" collapsed="false">
      <c r="A39" s="46" t="s">
        <v>235</v>
      </c>
      <c r="B39" s="46"/>
      <c r="C39" s="47" t="n">
        <v>0</v>
      </c>
    </row>
    <row r="40" customFormat="false" ht="15" hidden="false" customHeight="true" outlineLevel="0" collapsed="false">
      <c r="A40" s="44" t="s">
        <v>236</v>
      </c>
      <c r="B40" s="44"/>
      <c r="C40" s="45" t="n">
        <v>0</v>
      </c>
    </row>
    <row r="41" customFormat="false" ht="15" hidden="false" customHeight="true" outlineLevel="0" collapsed="false">
      <c r="A41" s="46" t="s">
        <v>237</v>
      </c>
      <c r="B41" s="46"/>
      <c r="C41" s="47" t="n">
        <v>0</v>
      </c>
    </row>
    <row r="42" customFormat="false" ht="15" hidden="false" customHeight="true" outlineLevel="0" collapsed="false">
      <c r="A42" s="46" t="s">
        <v>238</v>
      </c>
      <c r="B42" s="46"/>
      <c r="C42" s="47" t="n">
        <v>0</v>
      </c>
    </row>
    <row r="43" customFormat="false" ht="15" hidden="false" customHeight="true" outlineLevel="0" collapsed="false">
      <c r="A43" s="44" t="s">
        <v>239</v>
      </c>
      <c r="B43" s="44"/>
      <c r="C43" s="49" t="n">
        <v>0</v>
      </c>
    </row>
    <row r="45" customFormat="false" ht="21.75" hidden="false" customHeight="true" outlineLevel="0" collapsed="false">
      <c r="A45" s="43" t="s">
        <v>240</v>
      </c>
      <c r="B45" s="43"/>
      <c r="C45" s="43"/>
    </row>
    <row r="46" customFormat="false" ht="15" hidden="false" customHeight="true" outlineLevel="0" collapsed="false">
      <c r="A46" s="44" t="s">
        <v>241</v>
      </c>
      <c r="B46" s="44"/>
      <c r="C46" s="45" t="n">
        <f aca="false">(SUMPRODUCT((CONCENTRADO!Q3:Y3="044")*CONCENTRADO!Q35:Y59))+(SUMPRODUCT((CONCENTRADO!AA3:AG3="044")*CONCENTRADO!AA35:AG59))</f>
        <v>0</v>
      </c>
    </row>
    <row r="47" customFormat="false" ht="15" hidden="false" customHeight="true" outlineLevel="0" collapsed="false">
      <c r="A47" s="46" t="s">
        <v>242</v>
      </c>
      <c r="B47" s="46"/>
      <c r="C47" s="47" t="n">
        <v>0</v>
      </c>
    </row>
    <row r="48" customFormat="false" ht="15" hidden="false" customHeight="true" outlineLevel="0" collapsed="false">
      <c r="A48" s="46" t="s">
        <v>243</v>
      </c>
      <c r="B48" s="46"/>
      <c r="C48" s="47" t="n">
        <f aca="false">(SUMPRODUCT((CONCENTRADO!AJ3:AP3="069")*CONCENTRADO!AJ35:AP59))+(SUMPRODUCT((CONCENTRADO!AJ3:AP3="070")*CONCENTRADO!AJ35:AP59))</f>
        <v>0</v>
      </c>
    </row>
    <row r="49" customFormat="false" ht="15" hidden="false" customHeight="true" outlineLevel="0" collapsed="false">
      <c r="A49" s="44" t="s">
        <v>244</v>
      </c>
      <c r="B49" s="44"/>
      <c r="C49" s="45" t="n">
        <f aca="false">SUMPRODUCT((CONCENTRADO!AA3:AG3="044")*CONCENTRADO!AA35:AG59)</f>
        <v>0</v>
      </c>
    </row>
    <row r="50" customFormat="false" ht="15" hidden="false" customHeight="true" outlineLevel="0" collapsed="false">
      <c r="A50" s="46" t="s">
        <v>245</v>
      </c>
      <c r="B50" s="46"/>
      <c r="C50" s="47" t="n">
        <f aca="false">SUMPRODUCT((CONCENTRADO!AA3:AG3="044")*CONCENTRADO!AA35:AG59)</f>
        <v>0</v>
      </c>
    </row>
    <row r="51" customFormat="false" ht="15" hidden="false" customHeight="true" outlineLevel="0" collapsed="false">
      <c r="A51" s="46" t="s">
        <v>246</v>
      </c>
      <c r="B51" s="46"/>
      <c r="C51" s="47" t="n">
        <f aca="false">SUMPRODUCT((CONCENTRADO!AJ3:AP3="069")*CONCENTRADO!AJ35:AP59)</f>
        <v>0</v>
      </c>
    </row>
    <row r="53" customFormat="false" ht="21.75" hidden="false" customHeight="true" outlineLevel="0" collapsed="false">
      <c r="A53" s="43" t="s">
        <v>247</v>
      </c>
      <c r="B53" s="43"/>
      <c r="C53" s="43"/>
    </row>
    <row r="54" customFormat="false" ht="15" hidden="false" customHeight="true" outlineLevel="0" collapsed="false">
      <c r="A54" s="44" t="s">
        <v>248</v>
      </c>
      <c r="B54" s="44"/>
      <c r="C54" s="45" t="n">
        <f aca="false">(SUMPRODUCT((CONCENTRADO!Q3:Y3="039")*CONCENTRADO!Q35:Y59))+(SUMPRODUCT((CONCENTRADO!AA3:AG3="039")*CONCENTRADO!AA35:AG59))</f>
        <v>160528.19</v>
      </c>
    </row>
    <row r="55" customFormat="false" ht="15" hidden="false" customHeight="true" outlineLevel="0" collapsed="false">
      <c r="A55" s="46" t="s">
        <v>249</v>
      </c>
      <c r="B55" s="46"/>
      <c r="C55" s="47" t="n">
        <v>160528.19</v>
      </c>
    </row>
    <row r="56" customFormat="false" ht="15" hidden="false" customHeight="true" outlineLevel="0" collapsed="false">
      <c r="A56" s="46" t="s">
        <v>250</v>
      </c>
      <c r="B56" s="46"/>
      <c r="C56" s="47" t="n">
        <f aca="false">(SUMPRODUCT((CONCENTRADO!AJ3:AP3="065")*CONCENTRADO!AJ35:AP59))+(SUMPRODUCT((CONCENTRADO!AJ3:AP3="066")*CONCENTRADO!AJ35:AP59))</f>
        <v>0</v>
      </c>
    </row>
    <row r="57" customFormat="false" ht="15" hidden="false" customHeight="true" outlineLevel="0" collapsed="false">
      <c r="A57" s="44" t="s">
        <v>251</v>
      </c>
      <c r="B57" s="44"/>
      <c r="C57" s="45" t="n">
        <f aca="false">SUMPRODUCT((CONCENTRADO!AA3:AG3="039")*CONCENTRADO!AA35:AG59)</f>
        <v>160528.19</v>
      </c>
    </row>
    <row r="58" customFormat="false" ht="15" hidden="false" customHeight="true" outlineLevel="0" collapsed="false">
      <c r="A58" s="46" t="s">
        <v>252</v>
      </c>
      <c r="B58" s="46"/>
      <c r="C58" s="47" t="n">
        <f aca="false">SUMPRODUCT((CONCENTRADO!AA3:AG3="039")*CONCENTRADO!AA35:AG59)</f>
        <v>160528.19</v>
      </c>
    </row>
    <row r="59" customFormat="false" ht="15" hidden="false" customHeight="true" outlineLevel="0" collapsed="false">
      <c r="A59" s="46" t="s">
        <v>253</v>
      </c>
      <c r="B59" s="46"/>
      <c r="C59" s="47" t="n">
        <f aca="false">SUMPRODUCT((CONCENTRADO!AJ3:AP3="065")*CONCENTRADO!AJ35:AP59)</f>
        <v>0</v>
      </c>
    </row>
    <row r="61" customFormat="false" ht="21.75" hidden="false" customHeight="true" outlineLevel="0" collapsed="false">
      <c r="A61" s="43" t="s">
        <v>254</v>
      </c>
      <c r="B61" s="43"/>
      <c r="C61" s="43"/>
    </row>
    <row r="62" customFormat="false" ht="15" hidden="false" customHeight="true" outlineLevel="0" collapsed="false">
      <c r="A62" s="44" t="s">
        <v>255</v>
      </c>
      <c r="B62" s="44"/>
      <c r="C62" s="45" t="n">
        <f aca="false">SUMPRODUCT((CONCENTRADO!AJ3:AP3="002")*CONCENTRADO!AJ35:AP59)-(SUMPRODUCT((CONCENTRADO!AR3:AR3="001")*CONCENTRADO!AR35:AR59))</f>
        <v>0</v>
      </c>
    </row>
    <row r="63" customFormat="false" ht="15" hidden="false" customHeight="true" outlineLevel="0" collapsed="false">
      <c r="A63" s="46" t="s">
        <v>256</v>
      </c>
      <c r="B63" s="46"/>
      <c r="C63" s="47" t="n">
        <f aca="false">SUMPRODUCT((CONCENTRADO!AJ3:AP3="002")*CONCENTRADO!AJ35:AP59)</f>
        <v>0</v>
      </c>
    </row>
    <row r="64" customFormat="false" ht="15" hidden="false" customHeight="true" outlineLevel="0" collapsed="false">
      <c r="A64" s="46" t="s">
        <v>257</v>
      </c>
      <c r="B64" s="46"/>
      <c r="C64" s="47" t="n">
        <f aca="false">SUMPRODUCT((CONCENTRADO!AR3:AR3="001")*CONCENTRADO!AR35:AR59)</f>
        <v>0</v>
      </c>
    </row>
    <row r="65" customFormat="false" ht="15" hidden="false" customHeight="true" outlineLevel="0" collapsed="false">
      <c r="A65" s="44" t="s">
        <v>258</v>
      </c>
      <c r="B65" s="44"/>
      <c r="C65" s="45" t="n">
        <f aca="false">SUMPRODUCT((CONCENTRADO!AJ3:AP3="101")*CONCENTRADO!AJ35:AP59)</f>
        <v>0</v>
      </c>
    </row>
    <row r="66" customFormat="false" ht="15" hidden="false" customHeight="true" outlineLevel="0" collapsed="false">
      <c r="A66" s="44" t="s">
        <v>259</v>
      </c>
      <c r="B66" s="44"/>
      <c r="C66" s="45" t="n">
        <f aca="false">SUMPRODUCT((CONCENTRADO!AR3:AR3="004")*CONCENTRADO!AR35:AR59)</f>
        <v>0</v>
      </c>
    </row>
    <row r="67" customFormat="false" ht="15" hidden="false" customHeight="true" outlineLevel="0" collapsed="false">
      <c r="A67" s="44" t="s">
        <v>260</v>
      </c>
      <c r="B67" s="44"/>
      <c r="C67" s="45" t="n">
        <f aca="false">SUMPRODUCT((CONCENTRADO!AR3:AR3="005")*CONCENTRADO!AR35:AR59)</f>
        <v>0</v>
      </c>
    </row>
  </sheetData>
  <mergeCells count="57">
    <mergeCell ref="A1:C1"/>
    <mergeCell ref="A7:C7"/>
    <mergeCell ref="A8:B8"/>
    <mergeCell ref="A9:B9"/>
    <mergeCell ref="A10:B10"/>
    <mergeCell ref="A11:B11"/>
    <mergeCell ref="A12:B12"/>
    <mergeCell ref="A13:B13"/>
    <mergeCell ref="A14:C14"/>
    <mergeCell ref="A15:B15"/>
    <mergeCell ref="A16:B16"/>
    <mergeCell ref="A17:B17"/>
    <mergeCell ref="A18:B18"/>
    <mergeCell ref="A19:B19"/>
    <mergeCell ref="A20:B20"/>
    <mergeCell ref="A21:C21"/>
    <mergeCell ref="A22:B22"/>
    <mergeCell ref="A23:B23"/>
    <mergeCell ref="A24:B24"/>
    <mergeCell ref="A25:B25"/>
    <mergeCell ref="A26:B26"/>
    <mergeCell ref="A28:C28"/>
    <mergeCell ref="A29:B29"/>
    <mergeCell ref="A30:B30"/>
    <mergeCell ref="A31:B31"/>
    <mergeCell ref="A33:C33"/>
    <mergeCell ref="A34:B34"/>
    <mergeCell ref="A35:B35"/>
    <mergeCell ref="A36:B36"/>
    <mergeCell ref="A37:B37"/>
    <mergeCell ref="A38:B38"/>
    <mergeCell ref="A39:B39"/>
    <mergeCell ref="A40:B40"/>
    <mergeCell ref="A41:B41"/>
    <mergeCell ref="A42:B42"/>
    <mergeCell ref="A43:B43"/>
    <mergeCell ref="A45:C45"/>
    <mergeCell ref="A46:B46"/>
    <mergeCell ref="A47:B47"/>
    <mergeCell ref="A48:B48"/>
    <mergeCell ref="A49:B49"/>
    <mergeCell ref="A50:B50"/>
    <mergeCell ref="A51:B51"/>
    <mergeCell ref="A53:C53"/>
    <mergeCell ref="A54:B54"/>
    <mergeCell ref="A55:B55"/>
    <mergeCell ref="A56:B56"/>
    <mergeCell ref="A57:B57"/>
    <mergeCell ref="A58:B58"/>
    <mergeCell ref="A59:B59"/>
    <mergeCell ref="A61:C61"/>
    <mergeCell ref="A62:B62"/>
    <mergeCell ref="A63:B63"/>
    <mergeCell ref="A64:B64"/>
    <mergeCell ref="A65:B65"/>
    <mergeCell ref="A66:B66"/>
    <mergeCell ref="A67:B6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1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A1" activeCellId="0" sqref="A1"/>
    </sheetView>
  </sheetViews>
  <sheetFormatPr defaultColWidth="8.6796875" defaultRowHeight="15" zeroHeight="false" outlineLevelRow="0" outlineLevelCol="0"/>
  <cols>
    <col collapsed="false" customWidth="true" hidden="false" outlineLevel="0" max="13" min="2" style="1" width="12.71"/>
  </cols>
  <sheetData>
    <row r="1" customFormat="false" ht="27.75" hidden="false" customHeight="true" outlineLevel="0" collapsed="false">
      <c r="A1" s="50" t="s">
        <v>262</v>
      </c>
      <c r="B1" s="50"/>
      <c r="C1" s="50"/>
      <c r="D1" s="50"/>
      <c r="E1" s="50"/>
      <c r="F1" s="50"/>
      <c r="G1" s="50"/>
      <c r="H1" s="50"/>
      <c r="I1" s="50"/>
      <c r="J1" s="50"/>
      <c r="K1" s="50"/>
      <c r="L1" s="50"/>
      <c r="M1" s="50"/>
    </row>
    <row r="3" customFormat="false" ht="30" hidden="false" customHeight="true" outlineLevel="0" collapsed="false">
      <c r="A3" s="51"/>
      <c r="B3" s="52" t="s">
        <v>263</v>
      </c>
      <c r="C3" s="52"/>
      <c r="D3" s="52"/>
      <c r="E3" s="52"/>
      <c r="F3" s="52" t="s">
        <v>264</v>
      </c>
      <c r="G3" s="52"/>
      <c r="H3" s="52"/>
      <c r="I3" s="52"/>
      <c r="J3" s="52" t="s">
        <v>265</v>
      </c>
      <c r="K3" s="52"/>
      <c r="L3" s="52"/>
      <c r="M3" s="52"/>
    </row>
    <row r="4" customFormat="false" ht="15" hidden="false" customHeight="true" outlineLevel="0" collapsed="false">
      <c r="A4" s="53" t="s">
        <v>266</v>
      </c>
      <c r="B4" s="53" t="s">
        <v>267</v>
      </c>
      <c r="C4" s="53" t="s">
        <v>268</v>
      </c>
      <c r="D4" s="53" t="s">
        <v>269</v>
      </c>
      <c r="E4" s="53" t="s">
        <v>270</v>
      </c>
      <c r="F4" s="53" t="s">
        <v>267</v>
      </c>
      <c r="G4" s="53" t="s">
        <v>268</v>
      </c>
      <c r="H4" s="53" t="s">
        <v>269</v>
      </c>
      <c r="I4" s="53" t="s">
        <v>270</v>
      </c>
      <c r="J4" s="53" t="s">
        <v>267</v>
      </c>
      <c r="K4" s="53" t="s">
        <v>268</v>
      </c>
      <c r="L4" s="53" t="s">
        <v>269</v>
      </c>
      <c r="M4" s="53" t="s">
        <v>270</v>
      </c>
    </row>
    <row r="5" customFormat="false" ht="15" hidden="false" customHeight="true" outlineLevel="0" collapsed="false">
      <c r="A5" s="54" t="s">
        <v>271</v>
      </c>
      <c r="B5" s="55" t="n">
        <v>28984.06</v>
      </c>
      <c r="C5" s="55" t="n">
        <v>14147.75</v>
      </c>
      <c r="D5" s="55" t="n">
        <v>4090.44</v>
      </c>
      <c r="E5" s="55" t="n">
        <v>0</v>
      </c>
      <c r="F5" s="55" t="n">
        <v>0</v>
      </c>
      <c r="G5" s="55" t="n">
        <v>14315.04</v>
      </c>
      <c r="H5" s="55" t="n">
        <v>0</v>
      </c>
      <c r="I5" s="55" t="n">
        <v>0</v>
      </c>
      <c r="J5" s="56" t="n">
        <v>28984.06</v>
      </c>
      <c r="K5" s="56" t="n">
        <v>28462.79</v>
      </c>
      <c r="L5" s="56" t="n">
        <v>4090.44</v>
      </c>
      <c r="M5" s="56" t="n">
        <v>0</v>
      </c>
    </row>
    <row r="6" customFormat="false" ht="15" hidden="false" customHeight="true" outlineLevel="0" collapsed="false">
      <c r="A6" s="54" t="s">
        <v>272</v>
      </c>
      <c r="B6" s="55" t="n">
        <v>27432.57</v>
      </c>
      <c r="C6" s="55" t="n">
        <v>1026.28</v>
      </c>
      <c r="D6" s="55" t="n">
        <v>4159.46</v>
      </c>
      <c r="E6" s="55" t="n">
        <v>0</v>
      </c>
      <c r="F6" s="55" t="n">
        <v>0</v>
      </c>
      <c r="G6" s="55" t="n">
        <v>12650.5</v>
      </c>
      <c r="H6" s="55" t="n">
        <v>0</v>
      </c>
      <c r="I6" s="55" t="n">
        <v>0</v>
      </c>
      <c r="J6" s="56" t="n">
        <v>27432.57</v>
      </c>
      <c r="K6" s="56" t="n">
        <v>13676.78</v>
      </c>
      <c r="L6" s="56" t="n">
        <v>4159.46</v>
      </c>
      <c r="M6" s="56" t="n">
        <v>0</v>
      </c>
    </row>
    <row r="7" customFormat="false" ht="15" hidden="false" customHeight="true" outlineLevel="0" collapsed="false">
      <c r="A7" s="54" t="s">
        <v>273</v>
      </c>
      <c r="B7" s="55" t="n">
        <v>30442.29</v>
      </c>
      <c r="C7" s="55" t="n">
        <v>1026.28</v>
      </c>
      <c r="D7" s="55" t="n">
        <v>4831.46</v>
      </c>
      <c r="E7" s="55" t="n">
        <v>0</v>
      </c>
      <c r="F7" s="55" t="n">
        <v>0</v>
      </c>
      <c r="G7" s="55" t="n">
        <v>12650.5</v>
      </c>
      <c r="H7" s="55" t="n">
        <v>0</v>
      </c>
      <c r="I7" s="55" t="n">
        <v>0</v>
      </c>
      <c r="J7" s="56" t="n">
        <v>30442.29</v>
      </c>
      <c r="K7" s="56" t="n">
        <v>13676.78</v>
      </c>
      <c r="L7" s="56" t="n">
        <v>4831.46</v>
      </c>
      <c r="M7" s="56" t="n">
        <v>0</v>
      </c>
    </row>
    <row r="8" customFormat="false" ht="15" hidden="false" customHeight="true" outlineLevel="0" collapsed="false">
      <c r="A8" s="54" t="s">
        <v>274</v>
      </c>
      <c r="B8" s="55" t="n">
        <v>27144.42</v>
      </c>
      <c r="C8" s="55" t="n">
        <v>913.14</v>
      </c>
      <c r="D8" s="55" t="n">
        <v>4116.61</v>
      </c>
      <c r="E8" s="55" t="n">
        <v>0</v>
      </c>
      <c r="F8" s="55" t="n">
        <v>0</v>
      </c>
      <c r="G8" s="55" t="n">
        <v>12650.5</v>
      </c>
      <c r="H8" s="55" t="n">
        <v>0</v>
      </c>
      <c r="I8" s="55" t="n">
        <v>0</v>
      </c>
      <c r="J8" s="56" t="n">
        <v>27144.42</v>
      </c>
      <c r="K8" s="56" t="n">
        <v>13563.64</v>
      </c>
      <c r="L8" s="56" t="n">
        <v>4116.61</v>
      </c>
      <c r="M8" s="56" t="n">
        <v>0</v>
      </c>
    </row>
    <row r="9" customFormat="false" ht="15" hidden="false" customHeight="true" outlineLevel="0" collapsed="false">
      <c r="A9" s="54" t="s">
        <v>275</v>
      </c>
      <c r="B9" s="55" t="n">
        <v>35458.48</v>
      </c>
      <c r="C9" s="55" t="n">
        <v>1026.28</v>
      </c>
      <c r="D9" s="55" t="n">
        <v>5950.02</v>
      </c>
      <c r="E9" s="55" t="n">
        <v>0</v>
      </c>
      <c r="F9" s="55" t="n">
        <v>0</v>
      </c>
      <c r="G9" s="55" t="n">
        <v>12650.5</v>
      </c>
      <c r="H9" s="55" t="n">
        <v>0</v>
      </c>
      <c r="I9" s="55" t="n">
        <v>0</v>
      </c>
      <c r="J9" s="56" t="n">
        <v>35458.48</v>
      </c>
      <c r="K9" s="56" t="n">
        <v>13676.78</v>
      </c>
      <c r="L9" s="56" t="n">
        <v>5950.02</v>
      </c>
      <c r="M9" s="56" t="n">
        <v>0</v>
      </c>
    </row>
    <row r="10" customFormat="false" ht="15" hidden="false" customHeight="true" outlineLevel="0" collapsed="false">
      <c r="A10" s="54" t="s">
        <v>276</v>
      </c>
      <c r="B10" s="55" t="n">
        <v>35659.12</v>
      </c>
      <c r="C10" s="55" t="n">
        <v>1026.28</v>
      </c>
      <c r="D10" s="55" t="n">
        <v>5997.21</v>
      </c>
      <c r="E10" s="55" t="n">
        <v>0</v>
      </c>
      <c r="F10" s="55" t="n">
        <v>0</v>
      </c>
      <c r="G10" s="55" t="n">
        <v>12650.5</v>
      </c>
      <c r="H10" s="55" t="n">
        <v>0</v>
      </c>
      <c r="I10" s="55" t="n">
        <v>0</v>
      </c>
      <c r="J10" s="56" t="n">
        <v>35659.12</v>
      </c>
      <c r="K10" s="56" t="n">
        <v>13676.78</v>
      </c>
      <c r="L10" s="56" t="n">
        <v>5997.21</v>
      </c>
      <c r="M10" s="56" t="n">
        <v>0</v>
      </c>
    </row>
    <row r="11" customFormat="false" ht="15" hidden="false" customHeight="true" outlineLevel="0" collapsed="false">
      <c r="A11" s="54" t="s">
        <v>277</v>
      </c>
      <c r="B11" s="55" t="n">
        <v>28793.13</v>
      </c>
      <c r="C11" s="55" t="n">
        <v>12632.34</v>
      </c>
      <c r="D11" s="55" t="n">
        <v>4433.3</v>
      </c>
      <c r="E11" s="55" t="n">
        <v>0</v>
      </c>
      <c r="F11" s="55" t="n">
        <v>0</v>
      </c>
      <c r="G11" s="55" t="n">
        <v>12650.5</v>
      </c>
      <c r="H11" s="55" t="n">
        <v>0</v>
      </c>
      <c r="I11" s="55" t="n">
        <v>0</v>
      </c>
      <c r="J11" s="56" t="n">
        <v>28793.13</v>
      </c>
      <c r="K11" s="56" t="n">
        <v>25282.84</v>
      </c>
      <c r="L11" s="56" t="n">
        <v>4433.3</v>
      </c>
      <c r="M11" s="56" t="n">
        <v>0</v>
      </c>
    </row>
    <row r="12" customFormat="false" ht="15" hidden="false" customHeight="true" outlineLevel="0" collapsed="false">
      <c r="A12" s="54" t="s">
        <v>278</v>
      </c>
      <c r="B12" s="55" t="n">
        <v>30354.79</v>
      </c>
      <c r="C12" s="55" t="n">
        <v>913.14</v>
      </c>
      <c r="D12" s="55" t="n">
        <v>4831.46</v>
      </c>
      <c r="E12" s="55" t="n">
        <v>0</v>
      </c>
      <c r="F12" s="55" t="n">
        <v>0</v>
      </c>
      <c r="G12" s="55" t="n">
        <v>12650.5</v>
      </c>
      <c r="H12" s="55" t="n">
        <v>0</v>
      </c>
      <c r="I12" s="55" t="n">
        <v>0</v>
      </c>
      <c r="J12" s="56" t="n">
        <v>30354.79</v>
      </c>
      <c r="K12" s="56" t="n">
        <v>13563.64</v>
      </c>
      <c r="L12" s="56" t="n">
        <v>4831.46</v>
      </c>
      <c r="M12" s="56" t="n">
        <v>0</v>
      </c>
    </row>
    <row r="13" customFormat="false" ht="15" hidden="false" customHeight="true" outlineLevel="0" collapsed="false">
      <c r="A13" s="54" t="s">
        <v>279</v>
      </c>
      <c r="B13" s="55" t="n">
        <v>33853.3</v>
      </c>
      <c r="C13" s="55" t="n">
        <v>1026.28</v>
      </c>
      <c r="D13" s="55" t="n">
        <v>5572.48</v>
      </c>
      <c r="E13" s="55" t="n">
        <v>0</v>
      </c>
      <c r="F13" s="55" t="n">
        <v>0</v>
      </c>
      <c r="G13" s="55" t="n">
        <v>12650.5</v>
      </c>
      <c r="H13" s="55" t="n">
        <v>0</v>
      </c>
      <c r="I13" s="55" t="n">
        <v>0</v>
      </c>
      <c r="J13" s="56" t="n">
        <v>33853.3</v>
      </c>
      <c r="K13" s="56" t="n">
        <v>13676.78</v>
      </c>
      <c r="L13" s="56" t="n">
        <v>5572.48</v>
      </c>
      <c r="M13" s="56" t="n">
        <v>0</v>
      </c>
    </row>
    <row r="14" customFormat="false" ht="15" hidden="false" customHeight="true" outlineLevel="0" collapsed="false">
      <c r="A14" s="54" t="s">
        <v>280</v>
      </c>
      <c r="B14" s="55" t="n">
        <v>29037.76</v>
      </c>
      <c r="C14" s="55" t="n">
        <v>1026.28</v>
      </c>
      <c r="D14" s="55" t="n">
        <v>4485.64</v>
      </c>
      <c r="E14" s="55" t="n">
        <v>0</v>
      </c>
      <c r="F14" s="55" t="n">
        <v>0</v>
      </c>
      <c r="G14" s="55" t="n">
        <v>12650.5</v>
      </c>
      <c r="H14" s="55" t="n">
        <v>0</v>
      </c>
      <c r="I14" s="55" t="n">
        <v>0</v>
      </c>
      <c r="J14" s="56" t="n">
        <v>29037.76</v>
      </c>
      <c r="K14" s="56" t="n">
        <v>13676.78</v>
      </c>
      <c r="L14" s="56" t="n">
        <v>4485.64</v>
      </c>
      <c r="M14" s="56" t="n">
        <v>0</v>
      </c>
    </row>
    <row r="15" customFormat="false" ht="15" hidden="false" customHeight="true" outlineLevel="0" collapsed="false">
      <c r="A15" s="54" t="s">
        <v>281</v>
      </c>
      <c r="B15" s="55" t="n">
        <v>28837.11</v>
      </c>
      <c r="C15" s="55" t="n">
        <v>1026.28</v>
      </c>
      <c r="D15" s="55" t="n">
        <v>4459.47</v>
      </c>
      <c r="E15" s="55" t="n">
        <v>0</v>
      </c>
      <c r="F15" s="55" t="n">
        <v>0</v>
      </c>
      <c r="G15" s="55" t="n">
        <v>12650.5</v>
      </c>
      <c r="H15" s="55" t="n">
        <v>0</v>
      </c>
      <c r="I15" s="55" t="n">
        <v>0</v>
      </c>
      <c r="J15" s="56" t="n">
        <v>28837.11</v>
      </c>
      <c r="K15" s="56" t="n">
        <v>13676.78</v>
      </c>
      <c r="L15" s="56" t="n">
        <v>4459.47</v>
      </c>
      <c r="M15" s="56" t="n">
        <v>0</v>
      </c>
    </row>
    <row r="16" customFormat="false" ht="15" hidden="false" customHeight="true" outlineLevel="0" collapsed="false">
      <c r="A16" s="54" t="s">
        <v>282</v>
      </c>
      <c r="B16" s="55" t="n">
        <v>40692.12</v>
      </c>
      <c r="C16" s="55" t="n">
        <v>4420.48</v>
      </c>
      <c r="D16" s="55" t="n">
        <v>7020.82</v>
      </c>
      <c r="E16" s="55" t="n">
        <v>0</v>
      </c>
      <c r="F16" s="55" t="n">
        <v>0</v>
      </c>
      <c r="G16" s="55" t="n">
        <v>19708.15</v>
      </c>
      <c r="H16" s="55" t="n">
        <v>0</v>
      </c>
      <c r="I16" s="55" t="n">
        <v>0</v>
      </c>
      <c r="J16" s="56" t="n">
        <v>40692.12</v>
      </c>
      <c r="K16" s="56" t="n">
        <v>24128.63</v>
      </c>
      <c r="L16" s="56" t="n">
        <v>7020.82</v>
      </c>
      <c r="M16" s="56" t="n">
        <v>0</v>
      </c>
    </row>
    <row r="17" customFormat="false" ht="15" hidden="false" customHeight="true" outlineLevel="0" collapsed="false">
      <c r="A17" s="54" t="s">
        <v>198</v>
      </c>
      <c r="B17" s="56" t="n">
        <v>376689.15</v>
      </c>
      <c r="C17" s="56" t="n">
        <v>40210.81</v>
      </c>
      <c r="D17" s="56" t="n">
        <v>59948.37</v>
      </c>
      <c r="E17" s="56" t="n">
        <v>0</v>
      </c>
      <c r="F17" s="56" t="n">
        <v>0</v>
      </c>
      <c r="G17" s="56" t="n">
        <v>160528.19</v>
      </c>
      <c r="H17" s="56" t="n">
        <v>0</v>
      </c>
      <c r="I17" s="56" t="n">
        <v>0</v>
      </c>
      <c r="J17" s="56" t="n">
        <v>376689.15</v>
      </c>
      <c r="K17" s="56" t="n">
        <v>200739</v>
      </c>
      <c r="L17" s="56" t="n">
        <v>59948.37</v>
      </c>
      <c r="M17" s="56" t="n">
        <v>0</v>
      </c>
    </row>
  </sheetData>
  <mergeCells count="4">
    <mergeCell ref="A1:M1"/>
    <mergeCell ref="B3:E3"/>
    <mergeCell ref="F3:I3"/>
    <mergeCell ref="J3:M3"/>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5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A1" activeCellId="0" sqref="A1"/>
    </sheetView>
  </sheetViews>
  <sheetFormatPr defaultColWidth="8.6796875" defaultRowHeight="15" zeroHeight="false" outlineLevelRow="0" outlineLevelCol="0"/>
  <cols>
    <col collapsed="false" customWidth="true" hidden="false" outlineLevel="0" max="1" min="1" style="1" width="6.71"/>
    <col collapsed="false" customWidth="true" hidden="false" outlineLevel="0" max="2" min="2" style="1" width="12.71"/>
    <col collapsed="false" customWidth="true" hidden="false" outlineLevel="0" max="3" min="3" style="1" width="16.71"/>
    <col collapsed="false" customWidth="true" hidden="false" outlineLevel="0" max="4" min="4" style="1" width="32.71"/>
    <col collapsed="false" customWidth="true" hidden="false" outlineLevel="0" max="5" min="5" style="1" width="38.71"/>
    <col collapsed="false" customWidth="true" hidden="false" outlineLevel="0" max="9" min="6" style="1" width="14.71"/>
    <col collapsed="false" customWidth="true" hidden="false" outlineLevel="0" max="10" min="10" style="1" width="24.71"/>
  </cols>
  <sheetData>
    <row r="1" customFormat="false" ht="30" hidden="false" customHeight="true" outlineLevel="0" collapsed="false">
      <c r="A1" s="50" t="s">
        <v>283</v>
      </c>
      <c r="B1" s="50"/>
      <c r="C1" s="50"/>
      <c r="D1" s="50"/>
      <c r="E1" s="50"/>
      <c r="F1" s="50"/>
      <c r="G1" s="50"/>
      <c r="H1" s="50"/>
      <c r="I1" s="50"/>
      <c r="J1" s="50"/>
    </row>
    <row r="3" customFormat="false" ht="30" hidden="false" customHeight="true" outlineLevel="0" collapsed="false">
      <c r="A3" s="52" t="s">
        <v>284</v>
      </c>
      <c r="B3" s="52" t="s">
        <v>285</v>
      </c>
      <c r="C3" s="52" t="s">
        <v>286</v>
      </c>
      <c r="D3" s="52" t="s">
        <v>287</v>
      </c>
      <c r="E3" s="52" t="s">
        <v>91</v>
      </c>
      <c r="F3" s="52" t="s">
        <v>288</v>
      </c>
      <c r="G3" s="52" t="s">
        <v>289</v>
      </c>
      <c r="H3" s="52" t="s">
        <v>290</v>
      </c>
      <c r="I3" s="57" t="s">
        <v>291</v>
      </c>
      <c r="J3" s="57" t="s">
        <v>292</v>
      </c>
    </row>
    <row r="4" customFormat="false" ht="15" hidden="false" customHeight="true" outlineLevel="0" collapsed="false">
      <c r="A4" s="58" t="n">
        <v>1</v>
      </c>
      <c r="B4" s="59" t="n">
        <v>45672.3519675926</v>
      </c>
      <c r="C4" s="60" t="s">
        <v>171</v>
      </c>
      <c r="D4" s="60" t="s">
        <v>172</v>
      </c>
      <c r="E4" s="60" t="s">
        <v>170</v>
      </c>
      <c r="F4" s="55" t="n">
        <v>6325.25</v>
      </c>
      <c r="G4" s="55" t="n">
        <v>0</v>
      </c>
      <c r="H4" s="55" t="n">
        <v>6325.25</v>
      </c>
      <c r="I4" s="61"/>
      <c r="J4" s="62"/>
    </row>
    <row r="5" customFormat="false" ht="15" hidden="false" customHeight="true" outlineLevel="0" collapsed="false">
      <c r="A5" s="58" t="n">
        <v>2</v>
      </c>
      <c r="B5" s="59" t="n">
        <v>45673.364212963</v>
      </c>
      <c r="C5" s="60" t="s">
        <v>137</v>
      </c>
      <c r="D5" s="60" t="s">
        <v>138</v>
      </c>
      <c r="E5" s="60" t="s">
        <v>136</v>
      </c>
      <c r="F5" s="55" t="n">
        <v>13828.13</v>
      </c>
      <c r="G5" s="55" t="n">
        <v>4854.01</v>
      </c>
      <c r="H5" s="55" t="n">
        <v>8974.12</v>
      </c>
      <c r="I5" s="61"/>
      <c r="J5" s="62"/>
    </row>
    <row r="6" customFormat="false" ht="15" hidden="false" customHeight="true" outlineLevel="0" collapsed="false">
      <c r="A6" s="58" t="n">
        <v>3</v>
      </c>
      <c r="B6" s="59" t="n">
        <v>45681.4395138889</v>
      </c>
      <c r="C6" s="60" t="s">
        <v>137</v>
      </c>
      <c r="D6" s="60" t="s">
        <v>138</v>
      </c>
      <c r="E6" s="60" t="s">
        <v>142</v>
      </c>
      <c r="F6" s="55" t="n">
        <v>12265.19</v>
      </c>
      <c r="G6" s="55" t="n">
        <v>0</v>
      </c>
      <c r="H6" s="55" t="n">
        <v>12265.19</v>
      </c>
      <c r="I6" s="61"/>
      <c r="J6" s="62"/>
    </row>
    <row r="7" customFormat="false" ht="15" hidden="false" customHeight="true" outlineLevel="0" collapsed="false">
      <c r="A7" s="58" t="n">
        <v>4</v>
      </c>
      <c r="B7" s="59" t="n">
        <v>45688.3568981482</v>
      </c>
      <c r="C7" s="60" t="s">
        <v>171</v>
      </c>
      <c r="D7" s="60" t="s">
        <v>172</v>
      </c>
      <c r="E7" s="60" t="s">
        <v>173</v>
      </c>
      <c r="F7" s="55" t="n">
        <v>7989.79</v>
      </c>
      <c r="G7" s="55" t="n">
        <v>0</v>
      </c>
      <c r="H7" s="55" t="n">
        <v>7989.79</v>
      </c>
      <c r="I7" s="61"/>
      <c r="J7" s="62"/>
    </row>
    <row r="8" customFormat="false" ht="15" hidden="false" customHeight="true" outlineLevel="0" collapsed="false">
      <c r="A8" s="58" t="n">
        <v>5</v>
      </c>
      <c r="B8" s="59" t="n">
        <v>45688.4399652778</v>
      </c>
      <c r="C8" s="60" t="s">
        <v>137</v>
      </c>
      <c r="D8" s="60" t="s">
        <v>138</v>
      </c>
      <c r="E8" s="60" t="s">
        <v>144</v>
      </c>
      <c r="F8" s="55" t="n">
        <v>17038.49</v>
      </c>
      <c r="G8" s="55" t="n">
        <v>5028.54</v>
      </c>
      <c r="H8" s="55" t="n">
        <v>12009.95</v>
      </c>
      <c r="I8" s="61"/>
      <c r="J8" s="62"/>
    </row>
    <row r="9" customFormat="false" ht="15" hidden="false" customHeight="true" outlineLevel="0" collapsed="false">
      <c r="A9" s="58" t="n">
        <v>6</v>
      </c>
      <c r="B9" s="59" t="n">
        <v>45702.6281597222</v>
      </c>
      <c r="C9" s="60" t="s">
        <v>171</v>
      </c>
      <c r="D9" s="60" t="s">
        <v>172</v>
      </c>
      <c r="E9" s="60" t="s">
        <v>174</v>
      </c>
      <c r="F9" s="55" t="n">
        <v>6325.25</v>
      </c>
      <c r="G9" s="55" t="n">
        <v>0</v>
      </c>
      <c r="H9" s="55" t="n">
        <v>6325.25</v>
      </c>
      <c r="I9" s="61"/>
      <c r="J9" s="62"/>
    </row>
    <row r="10" customFormat="false" ht="15" hidden="false" customHeight="true" outlineLevel="0" collapsed="false">
      <c r="A10" s="58" t="n">
        <v>7</v>
      </c>
      <c r="B10" s="59" t="n">
        <v>45702.7449768519</v>
      </c>
      <c r="C10" s="60" t="s">
        <v>137</v>
      </c>
      <c r="D10" s="60" t="s">
        <v>138</v>
      </c>
      <c r="E10" s="60" t="s">
        <v>145</v>
      </c>
      <c r="F10" s="55" t="n">
        <v>14430.07</v>
      </c>
      <c r="G10" s="55" t="n">
        <v>4740.41</v>
      </c>
      <c r="H10" s="55" t="n">
        <v>9689.66</v>
      </c>
      <c r="I10" s="61"/>
      <c r="J10" s="62"/>
    </row>
    <row r="11" customFormat="false" ht="15" hidden="false" customHeight="true" outlineLevel="0" collapsed="false">
      <c r="A11" s="58" t="n">
        <v>8</v>
      </c>
      <c r="B11" s="59" t="n">
        <v>45716.3492592593</v>
      </c>
      <c r="C11" s="60" t="s">
        <v>171</v>
      </c>
      <c r="D11" s="60" t="s">
        <v>172</v>
      </c>
      <c r="E11" s="60" t="s">
        <v>175</v>
      </c>
      <c r="F11" s="55" t="n">
        <v>6325.25</v>
      </c>
      <c r="G11" s="55" t="n">
        <v>0</v>
      </c>
      <c r="H11" s="55" t="n">
        <v>6325.25</v>
      </c>
      <c r="I11" s="61"/>
      <c r="J11" s="62"/>
    </row>
    <row r="12" customFormat="false" ht="15" hidden="false" customHeight="true" outlineLevel="0" collapsed="false">
      <c r="A12" s="58" t="n">
        <v>9</v>
      </c>
      <c r="B12" s="59" t="n">
        <v>45716.7040856482</v>
      </c>
      <c r="C12" s="60" t="s">
        <v>137</v>
      </c>
      <c r="D12" s="60" t="s">
        <v>138</v>
      </c>
      <c r="E12" s="60" t="s">
        <v>146</v>
      </c>
      <c r="F12" s="55" t="n">
        <v>14028.78</v>
      </c>
      <c r="G12" s="55" t="n">
        <v>4406.42</v>
      </c>
      <c r="H12" s="55" t="n">
        <v>9622.36</v>
      </c>
      <c r="I12" s="61"/>
      <c r="J12" s="62"/>
    </row>
    <row r="13" customFormat="false" ht="15" hidden="false" customHeight="true" outlineLevel="0" collapsed="false">
      <c r="A13" s="58" t="n">
        <v>10</v>
      </c>
      <c r="B13" s="59" t="n">
        <v>45730.5692361111</v>
      </c>
      <c r="C13" s="60" t="s">
        <v>171</v>
      </c>
      <c r="D13" s="60" t="s">
        <v>172</v>
      </c>
      <c r="E13" s="60" t="s">
        <v>176</v>
      </c>
      <c r="F13" s="55" t="n">
        <v>6325.25</v>
      </c>
      <c r="G13" s="55" t="n">
        <v>0</v>
      </c>
      <c r="H13" s="55" t="n">
        <v>6325.25</v>
      </c>
      <c r="I13" s="61"/>
      <c r="J13" s="62"/>
    </row>
    <row r="14" customFormat="false" ht="15" hidden="false" customHeight="true" outlineLevel="0" collapsed="false">
      <c r="A14" s="58" t="n">
        <v>11</v>
      </c>
      <c r="B14" s="59" t="n">
        <v>45730.7323611111</v>
      </c>
      <c r="C14" s="60" t="s">
        <v>137</v>
      </c>
      <c r="D14" s="60" t="s">
        <v>138</v>
      </c>
      <c r="E14" s="60" t="s">
        <v>147</v>
      </c>
      <c r="F14" s="55" t="n">
        <v>14028.78</v>
      </c>
      <c r="G14" s="55" t="n">
        <v>4621.86</v>
      </c>
      <c r="H14" s="55" t="n">
        <v>9406.92</v>
      </c>
      <c r="I14" s="61"/>
      <c r="J14" s="62"/>
    </row>
    <row r="15" customFormat="false" ht="15" hidden="false" customHeight="true" outlineLevel="0" collapsed="false">
      <c r="A15" s="58" t="n">
        <v>12</v>
      </c>
      <c r="B15" s="59" t="n">
        <v>45747.4525</v>
      </c>
      <c r="C15" s="60" t="s">
        <v>171</v>
      </c>
      <c r="D15" s="60" t="s">
        <v>172</v>
      </c>
      <c r="E15" s="60" t="s">
        <v>177</v>
      </c>
      <c r="F15" s="55" t="n">
        <v>6325.25</v>
      </c>
      <c r="G15" s="55" t="n">
        <v>0</v>
      </c>
      <c r="H15" s="55" t="n">
        <v>6325.25</v>
      </c>
      <c r="I15" s="61"/>
      <c r="J15" s="62"/>
    </row>
    <row r="16" customFormat="false" ht="15" hidden="false" customHeight="true" outlineLevel="0" collapsed="false">
      <c r="A16" s="58" t="n">
        <v>13</v>
      </c>
      <c r="B16" s="59" t="n">
        <v>45747.7739236111</v>
      </c>
      <c r="C16" s="60" t="s">
        <v>137</v>
      </c>
      <c r="D16" s="60" t="s">
        <v>138</v>
      </c>
      <c r="E16" s="60" t="s">
        <v>148</v>
      </c>
      <c r="F16" s="55" t="n">
        <v>17439.79</v>
      </c>
      <c r="G16" s="55" t="n">
        <v>5534.06</v>
      </c>
      <c r="H16" s="55" t="n">
        <v>11905.73</v>
      </c>
      <c r="I16" s="61"/>
      <c r="J16" s="62"/>
    </row>
    <row r="17" customFormat="false" ht="15" hidden="false" customHeight="true" outlineLevel="0" collapsed="false">
      <c r="A17" s="58" t="n">
        <v>14</v>
      </c>
      <c r="B17" s="59" t="n">
        <v>45762.3875</v>
      </c>
      <c r="C17" s="60" t="s">
        <v>171</v>
      </c>
      <c r="D17" s="60" t="s">
        <v>172</v>
      </c>
      <c r="E17" s="60" t="s">
        <v>178</v>
      </c>
      <c r="F17" s="55" t="n">
        <v>6325.25</v>
      </c>
      <c r="G17" s="55" t="n">
        <v>0</v>
      </c>
      <c r="H17" s="55" t="n">
        <v>6325.25</v>
      </c>
      <c r="I17" s="61"/>
      <c r="J17" s="62"/>
    </row>
    <row r="18" customFormat="false" ht="15" hidden="false" customHeight="true" outlineLevel="0" collapsed="false">
      <c r="A18" s="58" t="n">
        <v>15</v>
      </c>
      <c r="B18" s="59" t="n">
        <v>45762.7308101852</v>
      </c>
      <c r="C18" s="60" t="s">
        <v>137</v>
      </c>
      <c r="D18" s="60" t="s">
        <v>138</v>
      </c>
      <c r="E18" s="60" t="s">
        <v>149</v>
      </c>
      <c r="F18" s="55" t="n">
        <v>13828.13</v>
      </c>
      <c r="G18" s="55" t="n">
        <v>4579.86</v>
      </c>
      <c r="H18" s="55" t="n">
        <v>9248.27</v>
      </c>
      <c r="I18" s="61"/>
      <c r="J18" s="62"/>
    </row>
    <row r="19" customFormat="false" ht="15" hidden="false" customHeight="true" outlineLevel="0" collapsed="false">
      <c r="A19" s="58" t="n">
        <v>16</v>
      </c>
      <c r="B19" s="59" t="n">
        <v>45777.3860532407</v>
      </c>
      <c r="C19" s="60" t="s">
        <v>171</v>
      </c>
      <c r="D19" s="60" t="s">
        <v>172</v>
      </c>
      <c r="E19" s="60" t="s">
        <v>179</v>
      </c>
      <c r="F19" s="55" t="n">
        <v>6325.25</v>
      </c>
      <c r="G19" s="55" t="n">
        <v>0</v>
      </c>
      <c r="H19" s="55" t="n">
        <v>6325.25</v>
      </c>
      <c r="I19" s="61"/>
      <c r="J19" s="62"/>
    </row>
    <row r="20" customFormat="false" ht="15" hidden="false" customHeight="true" outlineLevel="0" collapsed="false">
      <c r="A20" s="58" t="n">
        <v>17</v>
      </c>
      <c r="B20" s="59" t="n">
        <v>45777.4923148148</v>
      </c>
      <c r="C20" s="60" t="s">
        <v>137</v>
      </c>
      <c r="D20" s="60" t="s">
        <v>138</v>
      </c>
      <c r="E20" s="60" t="s">
        <v>150</v>
      </c>
      <c r="F20" s="55" t="n">
        <v>14229.43</v>
      </c>
      <c r="G20" s="55" t="n">
        <v>4627.03</v>
      </c>
      <c r="H20" s="55" t="n">
        <v>9602.4</v>
      </c>
      <c r="I20" s="61"/>
      <c r="J20" s="62"/>
    </row>
    <row r="21" customFormat="false" ht="15" hidden="false" customHeight="true" outlineLevel="0" collapsed="false">
      <c r="A21" s="58" t="n">
        <v>18</v>
      </c>
      <c r="B21" s="59" t="n">
        <v>45792.4882523148</v>
      </c>
      <c r="C21" s="60" t="s">
        <v>171</v>
      </c>
      <c r="D21" s="60" t="s">
        <v>172</v>
      </c>
      <c r="E21" s="60" t="s">
        <v>180</v>
      </c>
      <c r="F21" s="55" t="n">
        <v>6325.25</v>
      </c>
      <c r="G21" s="55" t="n">
        <v>0</v>
      </c>
      <c r="H21" s="55" t="n">
        <v>6325.25</v>
      </c>
      <c r="I21" s="61"/>
      <c r="J21" s="62"/>
    </row>
    <row r="22" customFormat="false" ht="15" hidden="false" customHeight="true" outlineLevel="0" collapsed="false">
      <c r="A22" s="58" t="n">
        <v>19</v>
      </c>
      <c r="B22" s="59" t="n">
        <v>45792.9081712963</v>
      </c>
      <c r="C22" s="60" t="s">
        <v>137</v>
      </c>
      <c r="D22" s="60" t="s">
        <v>138</v>
      </c>
      <c r="E22" s="60" t="s">
        <v>151</v>
      </c>
      <c r="F22" s="55" t="n">
        <v>19044.97</v>
      </c>
      <c r="G22" s="55" t="n">
        <v>5763.52</v>
      </c>
      <c r="H22" s="55" t="n">
        <v>13281.45</v>
      </c>
      <c r="I22" s="61"/>
      <c r="J22" s="62"/>
    </row>
    <row r="23" customFormat="false" ht="15" hidden="false" customHeight="true" outlineLevel="0" collapsed="false">
      <c r="A23" s="58" t="n">
        <v>20</v>
      </c>
      <c r="B23" s="59" t="n">
        <v>45807.493287037</v>
      </c>
      <c r="C23" s="60" t="s">
        <v>171</v>
      </c>
      <c r="D23" s="60" t="s">
        <v>172</v>
      </c>
      <c r="E23" s="60" t="s">
        <v>181</v>
      </c>
      <c r="F23" s="55" t="n">
        <v>6325.25</v>
      </c>
      <c r="G23" s="55" t="n">
        <v>0</v>
      </c>
      <c r="H23" s="55" t="n">
        <v>6325.25</v>
      </c>
      <c r="I23" s="61"/>
      <c r="J23" s="62"/>
    </row>
    <row r="24" customFormat="false" ht="15" hidden="false" customHeight="true" outlineLevel="0" collapsed="false">
      <c r="A24" s="58" t="n">
        <v>21</v>
      </c>
      <c r="B24" s="59" t="n">
        <v>45807.4415393519</v>
      </c>
      <c r="C24" s="60" t="s">
        <v>137</v>
      </c>
      <c r="D24" s="60" t="s">
        <v>138</v>
      </c>
      <c r="E24" s="60" t="s">
        <v>152</v>
      </c>
      <c r="F24" s="55" t="n">
        <v>17439.79</v>
      </c>
      <c r="G24" s="55" t="n">
        <v>5558.69</v>
      </c>
      <c r="H24" s="55" t="n">
        <v>11881.1</v>
      </c>
      <c r="I24" s="61"/>
      <c r="J24" s="62"/>
    </row>
    <row r="25" customFormat="false" ht="15" hidden="false" customHeight="true" outlineLevel="0" collapsed="false">
      <c r="A25" s="58" t="n">
        <v>22</v>
      </c>
      <c r="B25" s="59" t="n">
        <v>45821.5455787037</v>
      </c>
      <c r="C25" s="60" t="s">
        <v>171</v>
      </c>
      <c r="D25" s="60" t="s">
        <v>172</v>
      </c>
      <c r="E25" s="60" t="s">
        <v>182</v>
      </c>
      <c r="F25" s="55" t="n">
        <v>6325.25</v>
      </c>
      <c r="G25" s="55" t="n">
        <v>0</v>
      </c>
      <c r="H25" s="55" t="n">
        <v>6325.25</v>
      </c>
      <c r="I25" s="61"/>
      <c r="J25" s="62"/>
    </row>
    <row r="26" customFormat="false" ht="15" hidden="false" customHeight="true" outlineLevel="0" collapsed="false">
      <c r="A26" s="58" t="n">
        <v>23</v>
      </c>
      <c r="B26" s="59" t="n">
        <v>45836.4094560185</v>
      </c>
      <c r="C26" s="60" t="s">
        <v>137</v>
      </c>
      <c r="D26" s="60" t="s">
        <v>138</v>
      </c>
      <c r="E26" s="60" t="s">
        <v>153</v>
      </c>
      <c r="F26" s="55" t="n">
        <v>19245.61</v>
      </c>
      <c r="G26" s="55" t="n">
        <v>5789.71</v>
      </c>
      <c r="H26" s="55" t="n">
        <v>13455.9</v>
      </c>
      <c r="I26" s="61"/>
      <c r="J26" s="62"/>
    </row>
    <row r="27" customFormat="false" ht="15" hidden="false" customHeight="true" outlineLevel="0" collapsed="false">
      <c r="A27" s="58" t="n">
        <v>24</v>
      </c>
      <c r="B27" s="59" t="n">
        <v>45835.7052083333</v>
      </c>
      <c r="C27" s="60" t="s">
        <v>171</v>
      </c>
      <c r="D27" s="60" t="s">
        <v>172</v>
      </c>
      <c r="E27" s="60" t="s">
        <v>183</v>
      </c>
      <c r="F27" s="55" t="n">
        <v>6325.25</v>
      </c>
      <c r="G27" s="55" t="n">
        <v>0</v>
      </c>
      <c r="H27" s="55" t="n">
        <v>6325.25</v>
      </c>
      <c r="I27" s="61"/>
      <c r="J27" s="62"/>
    </row>
    <row r="28" customFormat="false" ht="15" hidden="false" customHeight="true" outlineLevel="0" collapsed="false">
      <c r="A28" s="58" t="n">
        <v>25</v>
      </c>
      <c r="B28" s="59" t="n">
        <v>45838.7425578704</v>
      </c>
      <c r="C28" s="60" t="s">
        <v>137</v>
      </c>
      <c r="D28" s="60" t="s">
        <v>138</v>
      </c>
      <c r="E28" s="60" t="s">
        <v>154</v>
      </c>
      <c r="F28" s="55" t="n">
        <v>17439.79</v>
      </c>
      <c r="G28" s="55" t="n">
        <v>5406.98</v>
      </c>
      <c r="H28" s="55" t="n">
        <v>12032.81</v>
      </c>
      <c r="I28" s="61"/>
      <c r="J28" s="62"/>
    </row>
    <row r="29" customFormat="false" ht="15" hidden="false" customHeight="true" outlineLevel="0" collapsed="false">
      <c r="A29" s="58" t="n">
        <v>26</v>
      </c>
      <c r="B29" s="59" t="n">
        <v>45853.4163425926</v>
      </c>
      <c r="C29" s="60" t="s">
        <v>171</v>
      </c>
      <c r="D29" s="60" t="s">
        <v>172</v>
      </c>
      <c r="E29" s="60" t="s">
        <v>184</v>
      </c>
      <c r="F29" s="55" t="n">
        <v>6325.25</v>
      </c>
      <c r="G29" s="55" t="n">
        <v>0</v>
      </c>
      <c r="H29" s="55" t="n">
        <v>6325.25</v>
      </c>
      <c r="I29" s="61"/>
      <c r="J29" s="62"/>
    </row>
    <row r="30" customFormat="false" ht="15" hidden="false" customHeight="true" outlineLevel="0" collapsed="false">
      <c r="A30" s="58" t="n">
        <v>27</v>
      </c>
      <c r="B30" s="59" t="n">
        <v>45853.5519560185</v>
      </c>
      <c r="C30" s="60" t="s">
        <v>137</v>
      </c>
      <c r="D30" s="60" t="s">
        <v>138</v>
      </c>
      <c r="E30" s="60" t="s">
        <v>155</v>
      </c>
      <c r="F30" s="55" t="n">
        <v>13828.13</v>
      </c>
      <c r="G30" s="55" t="n">
        <v>4670.24</v>
      </c>
      <c r="H30" s="55" t="n">
        <v>9157.89</v>
      </c>
      <c r="I30" s="61"/>
      <c r="J30" s="62"/>
    </row>
    <row r="31" customFormat="false" ht="15" hidden="false" customHeight="true" outlineLevel="0" collapsed="false">
      <c r="A31" s="58" t="n">
        <v>28</v>
      </c>
      <c r="B31" s="59" t="n">
        <v>45856.4562615741</v>
      </c>
      <c r="C31" s="60" t="s">
        <v>137</v>
      </c>
      <c r="D31" s="60" t="s">
        <v>138</v>
      </c>
      <c r="E31" s="60" t="s">
        <v>156</v>
      </c>
      <c r="F31" s="55" t="n">
        <v>11963.38</v>
      </c>
      <c r="G31" s="55" t="n">
        <v>0</v>
      </c>
      <c r="H31" s="55" t="n">
        <v>11963.38</v>
      </c>
      <c r="I31" s="61"/>
      <c r="J31" s="62"/>
    </row>
    <row r="32" customFormat="false" ht="15" hidden="false" customHeight="true" outlineLevel="0" collapsed="false">
      <c r="A32" s="58" t="n">
        <v>29</v>
      </c>
      <c r="B32" s="59" t="n">
        <v>45869.663587963</v>
      </c>
      <c r="C32" s="60" t="s">
        <v>171</v>
      </c>
      <c r="D32" s="60" t="s">
        <v>172</v>
      </c>
      <c r="E32" s="60" t="s">
        <v>185</v>
      </c>
      <c r="F32" s="55" t="n">
        <v>6325.25</v>
      </c>
      <c r="G32" s="55" t="n">
        <v>0</v>
      </c>
      <c r="H32" s="55" t="n">
        <v>6325.25</v>
      </c>
      <c r="I32" s="61"/>
      <c r="J32" s="62"/>
    </row>
    <row r="33" customFormat="false" ht="15" hidden="false" customHeight="true" outlineLevel="0" collapsed="false">
      <c r="A33" s="58" t="n">
        <v>30</v>
      </c>
      <c r="B33" s="59" t="n">
        <v>45869.7489699074</v>
      </c>
      <c r="C33" s="60" t="s">
        <v>137</v>
      </c>
      <c r="D33" s="60" t="s">
        <v>138</v>
      </c>
      <c r="E33" s="60" t="s">
        <v>157</v>
      </c>
      <c r="F33" s="55" t="n">
        <v>15633.96</v>
      </c>
      <c r="G33" s="55" t="n">
        <v>5127.31</v>
      </c>
      <c r="H33" s="55" t="n">
        <v>10506.65</v>
      </c>
      <c r="I33" s="61"/>
      <c r="J33" s="62"/>
    </row>
    <row r="34" customFormat="false" ht="15" hidden="false" customHeight="true" outlineLevel="0" collapsed="false">
      <c r="A34" s="58" t="n">
        <v>31</v>
      </c>
      <c r="B34" s="59" t="n">
        <v>45884.4336342593</v>
      </c>
      <c r="C34" s="60" t="s">
        <v>171</v>
      </c>
      <c r="D34" s="60" t="s">
        <v>172</v>
      </c>
      <c r="E34" s="60" t="s">
        <v>186</v>
      </c>
      <c r="F34" s="55" t="n">
        <v>6325.25</v>
      </c>
      <c r="G34" s="55" t="n">
        <v>0</v>
      </c>
      <c r="H34" s="55" t="n">
        <v>6325.25</v>
      </c>
      <c r="I34" s="61"/>
      <c r="J34" s="62"/>
    </row>
    <row r="35" customFormat="false" ht="15" hidden="false" customHeight="true" outlineLevel="0" collapsed="false">
      <c r="A35" s="58" t="n">
        <v>32</v>
      </c>
      <c r="B35" s="59" t="n">
        <v>45884.6112384259</v>
      </c>
      <c r="C35" s="60" t="s">
        <v>137</v>
      </c>
      <c r="D35" s="60" t="s">
        <v>138</v>
      </c>
      <c r="E35" s="60" t="s">
        <v>158</v>
      </c>
      <c r="F35" s="55" t="n">
        <v>17439.8</v>
      </c>
      <c r="G35" s="55" t="n">
        <v>5448.49</v>
      </c>
      <c r="H35" s="55" t="n">
        <v>11991.31</v>
      </c>
      <c r="I35" s="61"/>
      <c r="J35" s="62"/>
    </row>
    <row r="36" customFormat="false" ht="15" hidden="false" customHeight="true" outlineLevel="0" collapsed="false">
      <c r="A36" s="58" t="n">
        <v>33</v>
      </c>
      <c r="B36" s="59" t="n">
        <v>45898.4068402778</v>
      </c>
      <c r="C36" s="60" t="s">
        <v>171</v>
      </c>
      <c r="D36" s="60" t="s">
        <v>172</v>
      </c>
      <c r="E36" s="60" t="s">
        <v>187</v>
      </c>
      <c r="F36" s="55" t="n">
        <v>6325.25</v>
      </c>
      <c r="G36" s="55" t="n">
        <v>0</v>
      </c>
      <c r="H36" s="55" t="n">
        <v>6325.25</v>
      </c>
      <c r="I36" s="61"/>
      <c r="J36" s="62"/>
    </row>
    <row r="37" customFormat="false" ht="15" hidden="false" customHeight="true" outlineLevel="0" collapsed="false">
      <c r="A37" s="58" t="n">
        <v>34</v>
      </c>
      <c r="B37" s="59" t="n">
        <v>45898.4847453704</v>
      </c>
      <c r="C37" s="60" t="s">
        <v>137</v>
      </c>
      <c r="D37" s="60" t="s">
        <v>138</v>
      </c>
      <c r="E37" s="60" t="s">
        <v>159</v>
      </c>
      <c r="F37" s="55" t="n">
        <v>13828.13</v>
      </c>
      <c r="G37" s="55" t="n">
        <v>4978.45</v>
      </c>
      <c r="H37" s="55" t="n">
        <v>8849.68</v>
      </c>
      <c r="I37" s="61"/>
      <c r="J37" s="62"/>
    </row>
    <row r="38" customFormat="false" ht="15" hidden="false" customHeight="true" outlineLevel="0" collapsed="false">
      <c r="A38" s="58" t="n">
        <v>35</v>
      </c>
      <c r="B38" s="59" t="n">
        <v>45912.7633912037</v>
      </c>
      <c r="C38" s="60" t="s">
        <v>171</v>
      </c>
      <c r="D38" s="60" t="s">
        <v>172</v>
      </c>
      <c r="E38" s="60" t="s">
        <v>188</v>
      </c>
      <c r="F38" s="55" t="n">
        <v>6325.25</v>
      </c>
      <c r="G38" s="55" t="n">
        <v>0</v>
      </c>
      <c r="H38" s="55" t="n">
        <v>6325.25</v>
      </c>
      <c r="I38" s="61"/>
      <c r="J38" s="62"/>
    </row>
    <row r="39" customFormat="false" ht="15" hidden="false" customHeight="true" outlineLevel="0" collapsed="false">
      <c r="A39" s="58" t="n">
        <v>36</v>
      </c>
      <c r="B39" s="59" t="n">
        <v>45917.486724537</v>
      </c>
      <c r="C39" s="60" t="s">
        <v>137</v>
      </c>
      <c r="D39" s="60" t="s">
        <v>138</v>
      </c>
      <c r="E39" s="60" t="s">
        <v>160</v>
      </c>
      <c r="F39" s="55" t="n">
        <v>17439.79</v>
      </c>
      <c r="G39" s="55" t="n">
        <v>5468.59</v>
      </c>
      <c r="H39" s="55" t="n">
        <v>11971.2</v>
      </c>
      <c r="I39" s="61"/>
      <c r="J39" s="62"/>
    </row>
    <row r="40" customFormat="false" ht="15" hidden="false" customHeight="true" outlineLevel="0" collapsed="false">
      <c r="A40" s="58" t="n">
        <v>37</v>
      </c>
      <c r="B40" s="59" t="n">
        <v>45930.4027314815</v>
      </c>
      <c r="C40" s="60" t="s">
        <v>171</v>
      </c>
      <c r="D40" s="60" t="s">
        <v>172</v>
      </c>
      <c r="E40" s="60" t="s">
        <v>189</v>
      </c>
      <c r="F40" s="55" t="n">
        <v>6325.25</v>
      </c>
      <c r="G40" s="55" t="n">
        <v>0</v>
      </c>
      <c r="H40" s="55" t="n">
        <v>6325.25</v>
      </c>
      <c r="I40" s="61"/>
      <c r="J40" s="62"/>
    </row>
    <row r="41" customFormat="false" ht="15" hidden="false" customHeight="true" outlineLevel="0" collapsed="false">
      <c r="A41" s="58" t="n">
        <v>38</v>
      </c>
      <c r="B41" s="59" t="n">
        <v>45930.5475231482</v>
      </c>
      <c r="C41" s="60" t="s">
        <v>137</v>
      </c>
      <c r="D41" s="60" t="s">
        <v>138</v>
      </c>
      <c r="E41" s="60" t="s">
        <v>161</v>
      </c>
      <c r="F41" s="55" t="n">
        <v>17439.79</v>
      </c>
      <c r="G41" s="55" t="n">
        <v>5414.59</v>
      </c>
      <c r="H41" s="55" t="n">
        <v>12025.2</v>
      </c>
      <c r="I41" s="61"/>
      <c r="J41" s="62"/>
    </row>
    <row r="42" customFormat="false" ht="15" hidden="false" customHeight="true" outlineLevel="0" collapsed="false">
      <c r="A42" s="58" t="n">
        <v>39</v>
      </c>
      <c r="B42" s="59" t="n">
        <v>45945.3859375</v>
      </c>
      <c r="C42" s="60" t="s">
        <v>171</v>
      </c>
      <c r="D42" s="60" t="s">
        <v>172</v>
      </c>
      <c r="E42" s="60" t="s">
        <v>190</v>
      </c>
      <c r="F42" s="55" t="n">
        <v>6325.25</v>
      </c>
      <c r="G42" s="55" t="n">
        <v>0</v>
      </c>
      <c r="H42" s="55" t="n">
        <v>6325.25</v>
      </c>
      <c r="I42" s="61"/>
      <c r="J42" s="62"/>
    </row>
    <row r="43" customFormat="false" ht="15" hidden="false" customHeight="true" outlineLevel="0" collapsed="false">
      <c r="A43" s="58" t="n">
        <v>40</v>
      </c>
      <c r="B43" s="59" t="n">
        <v>45945.6890856482</v>
      </c>
      <c r="C43" s="60" t="s">
        <v>137</v>
      </c>
      <c r="D43" s="60" t="s">
        <v>138</v>
      </c>
      <c r="E43" s="60" t="s">
        <v>162</v>
      </c>
      <c r="F43" s="55" t="n">
        <v>14229.43</v>
      </c>
      <c r="G43" s="55" t="n">
        <v>4755.74</v>
      </c>
      <c r="H43" s="55" t="n">
        <v>9473.69</v>
      </c>
      <c r="I43" s="61"/>
      <c r="J43" s="62"/>
    </row>
    <row r="44" customFormat="false" ht="15" hidden="false" customHeight="true" outlineLevel="0" collapsed="false">
      <c r="A44" s="58" t="n">
        <v>41</v>
      </c>
      <c r="B44" s="59" t="n">
        <v>45960.6509143519</v>
      </c>
      <c r="C44" s="60" t="s">
        <v>171</v>
      </c>
      <c r="D44" s="60" t="s">
        <v>172</v>
      </c>
      <c r="E44" s="60" t="s">
        <v>191</v>
      </c>
      <c r="F44" s="55" t="n">
        <v>6325.25</v>
      </c>
      <c r="G44" s="55" t="n">
        <v>0</v>
      </c>
      <c r="H44" s="55" t="n">
        <v>6325.25</v>
      </c>
      <c r="I44" s="61"/>
      <c r="J44" s="62"/>
    </row>
    <row r="45" customFormat="false" ht="15" hidden="false" customHeight="true" outlineLevel="0" collapsed="false">
      <c r="A45" s="58" t="n">
        <v>42</v>
      </c>
      <c r="B45" s="59" t="n">
        <v>45961.6097337963</v>
      </c>
      <c r="C45" s="60" t="s">
        <v>137</v>
      </c>
      <c r="D45" s="60" t="s">
        <v>138</v>
      </c>
      <c r="E45" s="60" t="s">
        <v>163</v>
      </c>
      <c r="F45" s="55" t="n">
        <v>15834.61</v>
      </c>
      <c r="G45" s="55" t="n">
        <v>5145.82</v>
      </c>
      <c r="H45" s="55" t="n">
        <v>10688.79</v>
      </c>
      <c r="I45" s="61"/>
      <c r="J45" s="62"/>
    </row>
    <row r="46" customFormat="false" ht="15" hidden="false" customHeight="true" outlineLevel="0" collapsed="false">
      <c r="A46" s="58" t="n">
        <v>43</v>
      </c>
      <c r="B46" s="59" t="n">
        <v>45975.4170717593</v>
      </c>
      <c r="C46" s="60" t="s">
        <v>171</v>
      </c>
      <c r="D46" s="60" t="s">
        <v>172</v>
      </c>
      <c r="E46" s="60" t="s">
        <v>192</v>
      </c>
      <c r="F46" s="55" t="n">
        <v>6325.25</v>
      </c>
      <c r="G46" s="55" t="n">
        <v>0</v>
      </c>
      <c r="H46" s="55" t="n">
        <v>6325.25</v>
      </c>
      <c r="I46" s="61"/>
      <c r="J46" s="62"/>
    </row>
    <row r="47" customFormat="false" ht="15" hidden="false" customHeight="true" outlineLevel="0" collapsed="false">
      <c r="A47" s="58" t="n">
        <v>44</v>
      </c>
      <c r="B47" s="59" t="n">
        <v>45975.5377430556</v>
      </c>
      <c r="C47" s="60" t="s">
        <v>137</v>
      </c>
      <c r="D47" s="60" t="s">
        <v>138</v>
      </c>
      <c r="E47" s="60" t="s">
        <v>164</v>
      </c>
      <c r="F47" s="55" t="n">
        <v>14028.78</v>
      </c>
      <c r="G47" s="55" t="n">
        <v>4276.16</v>
      </c>
      <c r="H47" s="55" t="n">
        <v>9752.62</v>
      </c>
      <c r="I47" s="61"/>
      <c r="J47" s="62"/>
    </row>
    <row r="48" customFormat="false" ht="15" hidden="false" customHeight="true" outlineLevel="0" collapsed="false">
      <c r="A48" s="58" t="n">
        <v>45</v>
      </c>
      <c r="B48" s="59" t="n">
        <v>45989.4440509259</v>
      </c>
      <c r="C48" s="60" t="s">
        <v>171</v>
      </c>
      <c r="D48" s="60" t="s">
        <v>172</v>
      </c>
      <c r="E48" s="60" t="s">
        <v>193</v>
      </c>
      <c r="F48" s="55" t="n">
        <v>6325.25</v>
      </c>
      <c r="G48" s="55" t="n">
        <v>0</v>
      </c>
      <c r="H48" s="55" t="n">
        <v>6325.25</v>
      </c>
      <c r="I48" s="61"/>
      <c r="J48" s="62"/>
    </row>
    <row r="49" customFormat="false" ht="15" hidden="false" customHeight="true" outlineLevel="0" collapsed="false">
      <c r="A49" s="58" t="n">
        <v>46</v>
      </c>
      <c r="B49" s="59" t="n">
        <v>45989.4441550926</v>
      </c>
      <c r="C49" s="60" t="s">
        <v>137</v>
      </c>
      <c r="D49" s="60" t="s">
        <v>138</v>
      </c>
      <c r="E49" s="60" t="s">
        <v>165</v>
      </c>
      <c r="F49" s="55" t="n">
        <v>15834.61</v>
      </c>
      <c r="G49" s="55" t="n">
        <v>5015.96</v>
      </c>
      <c r="H49" s="55" t="n">
        <v>10818.65</v>
      </c>
      <c r="I49" s="61"/>
      <c r="J49" s="62"/>
    </row>
    <row r="50" customFormat="false" ht="15" hidden="false" customHeight="true" outlineLevel="0" collapsed="false">
      <c r="A50" s="58" t="n">
        <v>47</v>
      </c>
      <c r="B50" s="59" t="n">
        <v>45996.5722337963</v>
      </c>
      <c r="C50" s="60" t="s">
        <v>171</v>
      </c>
      <c r="D50" s="60" t="s">
        <v>172</v>
      </c>
      <c r="E50" s="60" t="s">
        <v>195</v>
      </c>
      <c r="F50" s="55" t="n">
        <v>7057.65</v>
      </c>
      <c r="G50" s="55" t="n">
        <v>0</v>
      </c>
      <c r="H50" s="55" t="n">
        <v>7057.65</v>
      </c>
      <c r="I50" s="61"/>
      <c r="J50" s="62"/>
    </row>
    <row r="51" customFormat="false" ht="15" hidden="false" customHeight="true" outlineLevel="0" collapsed="false">
      <c r="A51" s="58" t="n">
        <v>48</v>
      </c>
      <c r="B51" s="59" t="n">
        <v>45996.6128819444</v>
      </c>
      <c r="C51" s="60" t="s">
        <v>137</v>
      </c>
      <c r="D51" s="60" t="s">
        <v>138</v>
      </c>
      <c r="E51" s="60" t="s">
        <v>166</v>
      </c>
      <c r="F51" s="55" t="n">
        <v>12038.85</v>
      </c>
      <c r="G51" s="55" t="n">
        <v>1846.5</v>
      </c>
      <c r="H51" s="55" t="n">
        <v>10192.35</v>
      </c>
      <c r="I51" s="61"/>
      <c r="J51" s="62"/>
    </row>
    <row r="52" customFormat="false" ht="15" hidden="false" customHeight="true" outlineLevel="0" collapsed="false">
      <c r="A52" s="58" t="n">
        <v>49</v>
      </c>
      <c r="B52" s="59" t="n">
        <v>46003.4037847222</v>
      </c>
      <c r="C52" s="60" t="s">
        <v>171</v>
      </c>
      <c r="D52" s="60" t="s">
        <v>172</v>
      </c>
      <c r="E52" s="60" t="s">
        <v>194</v>
      </c>
      <c r="F52" s="55" t="n">
        <v>6325.25</v>
      </c>
      <c r="G52" s="55" t="n">
        <v>0</v>
      </c>
      <c r="H52" s="55" t="n">
        <v>6325.25</v>
      </c>
      <c r="I52" s="61"/>
      <c r="J52" s="62"/>
    </row>
    <row r="53" customFormat="false" ht="15" hidden="false" customHeight="true" outlineLevel="0" collapsed="false">
      <c r="A53" s="58" t="n">
        <v>50</v>
      </c>
      <c r="B53" s="59" t="n">
        <v>46007.370462963</v>
      </c>
      <c r="C53" s="60" t="s">
        <v>137</v>
      </c>
      <c r="D53" s="60" t="s">
        <v>138</v>
      </c>
      <c r="E53" s="60" t="s">
        <v>167</v>
      </c>
      <c r="F53" s="55" t="n">
        <v>15633.96</v>
      </c>
      <c r="G53" s="55" t="n">
        <v>4827.1</v>
      </c>
      <c r="H53" s="55" t="n">
        <v>10806.86</v>
      </c>
      <c r="I53" s="61"/>
      <c r="J53" s="62"/>
    </row>
    <row r="54" customFormat="false" ht="15" hidden="false" customHeight="true" outlineLevel="0" collapsed="false">
      <c r="A54" s="58" t="n">
        <v>51</v>
      </c>
      <c r="B54" s="59" t="n">
        <v>46021.6328472222</v>
      </c>
      <c r="C54" s="60" t="s">
        <v>171</v>
      </c>
      <c r="D54" s="60" t="s">
        <v>172</v>
      </c>
      <c r="E54" s="60" t="s">
        <v>196</v>
      </c>
      <c r="F54" s="55" t="n">
        <v>6325.25</v>
      </c>
      <c r="G54" s="55" t="n">
        <v>0</v>
      </c>
      <c r="H54" s="55" t="n">
        <v>6325.25</v>
      </c>
      <c r="I54" s="61"/>
      <c r="J54" s="62"/>
    </row>
    <row r="55" customFormat="false" ht="15" hidden="false" customHeight="true" outlineLevel="0" collapsed="false">
      <c r="A55" s="58" t="n">
        <v>52</v>
      </c>
      <c r="B55" s="59" t="n">
        <v>46021.7911805556</v>
      </c>
      <c r="C55" s="60" t="s">
        <v>137</v>
      </c>
      <c r="D55" s="60" t="s">
        <v>138</v>
      </c>
      <c r="E55" s="60" t="s">
        <v>168</v>
      </c>
      <c r="F55" s="55" t="n">
        <v>17439.79</v>
      </c>
      <c r="G55" s="55" t="n">
        <v>5787.78</v>
      </c>
      <c r="H55" s="55" t="n">
        <v>11652.01</v>
      </c>
      <c r="I55" s="61"/>
      <c r="J55" s="62"/>
    </row>
    <row r="56" customFormat="false" ht="15" hidden="false" customHeight="true" outlineLevel="0" collapsed="false">
      <c r="A56" s="63" t="s">
        <v>198</v>
      </c>
      <c r="B56" s="63"/>
      <c r="C56" s="63"/>
      <c r="D56" s="63"/>
      <c r="E56" s="63"/>
      <c r="F56" s="64" t="n">
        <v>577428.15</v>
      </c>
      <c r="G56" s="64" t="n">
        <v>123673.82</v>
      </c>
      <c r="H56" s="64" t="n">
        <v>453754.33</v>
      </c>
      <c r="I56" s="61"/>
      <c r="J56" s="62"/>
    </row>
  </sheetData>
  <autoFilter ref="A3:J55"/>
  <mergeCells count="2">
    <mergeCell ref="A1:J1"/>
    <mergeCell ref="A56:E56"/>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2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8.6796875" defaultRowHeight="15" zeroHeight="false" outlineLevelRow="0" outlineLevelCol="0"/>
  <cols>
    <col collapsed="false" customWidth="true" hidden="false" outlineLevel="0" max="1" min="1" style="1" width="32.71"/>
    <col collapsed="false" customWidth="true" hidden="false" outlineLevel="0" max="2" min="2" style="1" width="22.71"/>
    <col collapsed="false" customWidth="true" hidden="false" outlineLevel="0" max="3" min="3" style="1" width="32.71"/>
    <col collapsed="false" customWidth="true" hidden="false" outlineLevel="0" max="4" min="4" style="1" width="22.71"/>
  </cols>
  <sheetData>
    <row r="1" customFormat="false" ht="30" hidden="false" customHeight="true" outlineLevel="0" collapsed="false">
      <c r="A1" s="50" t="s">
        <v>293</v>
      </c>
      <c r="B1" s="50"/>
      <c r="C1" s="50"/>
      <c r="D1" s="50"/>
    </row>
    <row r="3" customFormat="false" ht="15" hidden="false" customHeight="true" outlineLevel="0" collapsed="false">
      <c r="A3" s="65" t="s">
        <v>294</v>
      </c>
      <c r="B3" s="65"/>
      <c r="C3" s="65"/>
      <c r="D3" s="65"/>
    </row>
    <row r="4" customFormat="false" ht="15" hidden="false" customHeight="true" outlineLevel="0" collapsed="false">
      <c r="A4" s="54" t="s">
        <v>295</v>
      </c>
      <c r="B4" s="42" t="s">
        <v>296</v>
      </c>
      <c r="C4" s="54" t="s">
        <v>93</v>
      </c>
      <c r="D4" s="58" t="s">
        <v>297</v>
      </c>
    </row>
    <row r="5" customFormat="false" ht="15" hidden="false" customHeight="true" outlineLevel="0" collapsed="false">
      <c r="A5" s="54" t="s">
        <v>298</v>
      </c>
      <c r="B5" s="42" t="s">
        <v>3</v>
      </c>
      <c r="C5" s="54" t="s">
        <v>299</v>
      </c>
      <c r="D5" s="58" t="s">
        <v>5</v>
      </c>
    </row>
    <row r="6" customFormat="false" ht="15" hidden="false" customHeight="true" outlineLevel="0" collapsed="false">
      <c r="A6" s="54" t="s">
        <v>300</v>
      </c>
      <c r="B6" s="58" t="s">
        <v>301</v>
      </c>
      <c r="C6" s="54" t="s">
        <v>302</v>
      </c>
      <c r="D6" s="58" t="s">
        <v>303</v>
      </c>
    </row>
    <row r="8" customFormat="false" ht="15" hidden="false" customHeight="true" outlineLevel="0" collapsed="false">
      <c r="A8" s="66" t="s">
        <v>304</v>
      </c>
      <c r="B8" s="66"/>
      <c r="C8" s="66"/>
      <c r="D8" s="66"/>
    </row>
    <row r="9" customFormat="false" ht="15" hidden="false" customHeight="true" outlineLevel="0" collapsed="false">
      <c r="A9" s="54" t="s">
        <v>305</v>
      </c>
      <c r="B9" s="55" t="n">
        <v>5685.58</v>
      </c>
      <c r="C9" s="54" t="s">
        <v>306</v>
      </c>
      <c r="D9" s="55" t="n">
        <v>21.77</v>
      </c>
    </row>
    <row r="10" customFormat="false" ht="15" hidden="false" customHeight="true" outlineLevel="0" collapsed="false">
      <c r="A10" s="67" t="s">
        <v>307</v>
      </c>
      <c r="B10" s="10" t="n">
        <v>3798.62</v>
      </c>
      <c r="C10" s="54" t="s">
        <v>255</v>
      </c>
      <c r="D10" s="55" t="n">
        <v>0</v>
      </c>
    </row>
    <row r="12" customFormat="false" ht="15" hidden="false" customHeight="true" outlineLevel="0" collapsed="false">
      <c r="A12" s="66" t="s">
        <v>308</v>
      </c>
      <c r="B12" s="66"/>
      <c r="C12" s="66"/>
      <c r="D12" s="66"/>
    </row>
    <row r="13" customFormat="false" ht="15" hidden="false" customHeight="true" outlineLevel="0" collapsed="false">
      <c r="A13" s="54" t="s">
        <v>91</v>
      </c>
      <c r="B13" s="42" t="s">
        <v>309</v>
      </c>
      <c r="C13" s="42"/>
      <c r="D13" s="42"/>
    </row>
    <row r="14" customFormat="false" ht="15" hidden="false" customHeight="true" outlineLevel="0" collapsed="false">
      <c r="A14" s="54" t="s">
        <v>285</v>
      </c>
      <c r="B14" s="59" t="n">
        <v>46055.7503819445</v>
      </c>
      <c r="C14" s="54" t="s">
        <v>310</v>
      </c>
      <c r="D14" s="59" t="n">
        <v>46056.0003819445</v>
      </c>
    </row>
    <row r="15" customFormat="false" ht="15" hidden="false" customHeight="true" outlineLevel="0" collapsed="false">
      <c r="A15" s="54" t="s">
        <v>311</v>
      </c>
      <c r="B15" s="42" t="s">
        <v>312</v>
      </c>
      <c r="C15" s="54" t="s">
        <v>313</v>
      </c>
      <c r="D15" s="58" t="s">
        <v>314</v>
      </c>
    </row>
    <row r="17" customFormat="false" ht="15" hidden="false" customHeight="true" outlineLevel="0" collapsed="false">
      <c r="A17" s="65" t="s">
        <v>315</v>
      </c>
      <c r="B17" s="65"/>
      <c r="C17" s="65"/>
      <c r="D17" s="65"/>
    </row>
    <row r="18" customFormat="false" ht="15" hidden="false" customHeight="true" outlineLevel="0" collapsed="false">
      <c r="A18" s="67" t="s">
        <v>316</v>
      </c>
      <c r="B18" s="68" t="n">
        <v>3798.62</v>
      </c>
      <c r="C18" s="7" t="s">
        <v>317</v>
      </c>
      <c r="D18" s="7"/>
    </row>
    <row r="20" customFormat="false" ht="60" hidden="false" customHeight="true" outlineLevel="0" collapsed="false">
      <c r="A20" s="7" t="s">
        <v>318</v>
      </c>
      <c r="B20" s="7"/>
      <c r="C20" s="7"/>
      <c r="D20" s="7"/>
    </row>
  </sheetData>
  <mergeCells count="8">
    <mergeCell ref="A1:D1"/>
    <mergeCell ref="A3:D3"/>
    <mergeCell ref="A8:D8"/>
    <mergeCell ref="A12:D12"/>
    <mergeCell ref="B13:D13"/>
    <mergeCell ref="A17:D17"/>
    <mergeCell ref="C18:D18"/>
    <mergeCell ref="A20:D20"/>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8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2" topLeftCell="B3" activePane="bottomRight" state="frozen"/>
      <selection pane="topLeft" activeCell="A1" activeCellId="0" sqref="A1"/>
      <selection pane="topRight" activeCell="B1" activeCellId="0" sqref="B1"/>
      <selection pane="bottomLeft" activeCell="A3" activeCellId="0" sqref="A3"/>
      <selection pane="bottomRight" activeCell="A1" activeCellId="0" sqref="A1"/>
    </sheetView>
  </sheetViews>
  <sheetFormatPr defaultColWidth="8.6796875" defaultRowHeight="15" zeroHeight="false" outlineLevelRow="0" outlineLevelCol="0"/>
  <cols>
    <col collapsed="false" customWidth="true" hidden="false" outlineLevel="0" max="1" min="1" style="1" width="52.71"/>
    <col collapsed="false" customWidth="true" hidden="false" outlineLevel="0" max="3" min="2" style="1" width="14.71"/>
    <col collapsed="false" customWidth="true" hidden="false" outlineLevel="0" max="4" min="4" style="1" width="42.71"/>
    <col collapsed="false" customWidth="true" hidden="false" outlineLevel="0" max="5" min="5" style="1" width="18.71"/>
    <col collapsed="false" customWidth="true" hidden="false" outlineLevel="0" max="8" min="6" style="1" width="14.71"/>
  </cols>
  <sheetData>
    <row r="1" customFormat="false" ht="27.75" hidden="false" customHeight="true" outlineLevel="0" collapsed="false">
      <c r="A1" s="50" t="s">
        <v>319</v>
      </c>
      <c r="B1" s="50"/>
      <c r="C1" s="50"/>
      <c r="D1" s="50"/>
      <c r="E1" s="50"/>
      <c r="F1" s="50"/>
      <c r="G1" s="50"/>
      <c r="H1" s="50"/>
    </row>
    <row r="2" customFormat="false" ht="15" hidden="false" customHeight="true" outlineLevel="0" collapsed="false">
      <c r="A2" s="69" t="s">
        <v>320</v>
      </c>
      <c r="B2" s="69" t="s">
        <v>321</v>
      </c>
      <c r="C2" s="69" t="s">
        <v>322</v>
      </c>
      <c r="D2" s="69" t="s">
        <v>323</v>
      </c>
      <c r="E2" s="69" t="s">
        <v>324</v>
      </c>
      <c r="F2" s="69" t="s">
        <v>325</v>
      </c>
      <c r="G2" s="70" t="s">
        <v>7</v>
      </c>
      <c r="H2" s="69" t="s">
        <v>326</v>
      </c>
    </row>
    <row r="3" customFormat="false" ht="21.75" hidden="false" customHeight="true" outlineLevel="0" collapsed="false">
      <c r="A3" s="65" t="s">
        <v>327</v>
      </c>
      <c r="B3" s="65"/>
      <c r="C3" s="65"/>
      <c r="D3" s="65"/>
      <c r="E3" s="65"/>
      <c r="F3" s="65"/>
      <c r="G3" s="65"/>
      <c r="H3" s="65"/>
    </row>
    <row r="4" customFormat="false" ht="15" hidden="false" customHeight="true" outlineLevel="0" collapsed="false">
      <c r="A4" s="71" t="s">
        <v>328</v>
      </c>
      <c r="B4" s="55" t="n">
        <v>86.88</v>
      </c>
      <c r="C4" s="55" t="n">
        <v>89.62</v>
      </c>
      <c r="D4" s="55" t="n">
        <v>96.22</v>
      </c>
      <c r="E4" s="55" t="n">
        <v>103.74</v>
      </c>
      <c r="F4" s="55" t="n">
        <v>108.57</v>
      </c>
      <c r="G4" s="72" t="n">
        <v>113.14</v>
      </c>
      <c r="H4" s="55" t="n">
        <v>118.18</v>
      </c>
    </row>
    <row r="5" customFormat="false" ht="15" hidden="false" customHeight="true" outlineLevel="0" collapsed="false">
      <c r="A5" s="42" t="s">
        <v>329</v>
      </c>
      <c r="B5" s="55" t="n">
        <v>2641.15</v>
      </c>
      <c r="C5" s="55" t="n">
        <v>2724.45</v>
      </c>
      <c r="D5" s="55" t="n">
        <v>2925.09</v>
      </c>
      <c r="E5" s="55" t="n">
        <v>3153.7</v>
      </c>
      <c r="F5" s="55" t="n">
        <v>3300.53</v>
      </c>
      <c r="G5" s="72" t="n">
        <v>3439.46</v>
      </c>
      <c r="H5" s="55" t="n">
        <v>3592.64</v>
      </c>
    </row>
    <row r="6" customFormat="false" ht="15" hidden="false" customHeight="true" outlineLevel="0" collapsed="false">
      <c r="A6" s="42" t="s">
        <v>330</v>
      </c>
      <c r="B6" s="55" t="n">
        <v>31693.8</v>
      </c>
      <c r="C6" s="55" t="n">
        <v>32693.4</v>
      </c>
      <c r="D6" s="55" t="n">
        <v>35120.3</v>
      </c>
      <c r="E6" s="55" t="n">
        <v>37844.4</v>
      </c>
      <c r="F6" s="55" t="n">
        <v>39606.36</v>
      </c>
      <c r="G6" s="72" t="n">
        <v>41273.52</v>
      </c>
      <c r="H6" s="55" t="n">
        <v>43111.7</v>
      </c>
    </row>
    <row r="8" customFormat="false" ht="21.75" hidden="false" customHeight="true" outlineLevel="0" collapsed="false">
      <c r="A8" s="65" t="s">
        <v>331</v>
      </c>
      <c r="B8" s="65"/>
      <c r="C8" s="65"/>
      <c r="D8" s="65"/>
      <c r="E8" s="65"/>
      <c r="F8" s="65"/>
      <c r="G8" s="65"/>
      <c r="H8" s="65"/>
    </row>
    <row r="9" customFormat="false" ht="15" hidden="false" customHeight="true" outlineLevel="0" collapsed="false">
      <c r="A9" s="42" t="s">
        <v>332</v>
      </c>
      <c r="B9" s="55" t="n">
        <v>123.22</v>
      </c>
      <c r="C9" s="55" t="n">
        <v>141.7</v>
      </c>
      <c r="D9" s="55" t="n">
        <v>172.87</v>
      </c>
      <c r="E9" s="55" t="n">
        <v>207.44</v>
      </c>
      <c r="F9" s="55" t="n">
        <v>248.93</v>
      </c>
      <c r="G9" s="72" t="n">
        <v>278.8</v>
      </c>
      <c r="H9" s="55" t="n">
        <v>315.04</v>
      </c>
    </row>
    <row r="10" customFormat="false" ht="15" hidden="false" customHeight="true" outlineLevel="0" collapsed="false">
      <c r="A10" s="42" t="s">
        <v>333</v>
      </c>
      <c r="B10" s="55" t="n">
        <v>185.56</v>
      </c>
      <c r="C10" s="55" t="n">
        <v>213.39</v>
      </c>
      <c r="D10" s="55" t="n">
        <v>260.34</v>
      </c>
      <c r="E10" s="55" t="n">
        <v>312.41</v>
      </c>
      <c r="F10" s="55" t="n">
        <v>374.89</v>
      </c>
      <c r="G10" s="72" t="n">
        <v>419.88</v>
      </c>
      <c r="H10" s="55" t="n">
        <v>419.88</v>
      </c>
    </row>
    <row r="12" customFormat="false" ht="21.75" hidden="false" customHeight="true" outlineLevel="0" collapsed="false">
      <c r="A12" s="65" t="s">
        <v>334</v>
      </c>
      <c r="B12" s="65"/>
      <c r="C12" s="65"/>
      <c r="D12" s="65"/>
      <c r="E12" s="65"/>
      <c r="F12" s="65"/>
      <c r="G12" s="65"/>
      <c r="H12" s="65"/>
    </row>
    <row r="13" customFormat="false" ht="15" hidden="false" customHeight="true" outlineLevel="0" collapsed="false">
      <c r="A13" s="73" t="s">
        <v>335</v>
      </c>
      <c r="B13" s="73"/>
      <c r="C13" s="73"/>
      <c r="D13" s="73"/>
      <c r="E13" s="73"/>
      <c r="F13" s="73"/>
      <c r="G13" s="73"/>
      <c r="H13" s="73"/>
    </row>
    <row r="14" customFormat="false" ht="15" hidden="false" customHeight="true" outlineLevel="0" collapsed="false">
      <c r="A14" s="71" t="s">
        <v>336</v>
      </c>
      <c r="B14" s="55" t="n">
        <v>2606.4</v>
      </c>
      <c r="C14" s="55" t="n">
        <v>2688.6</v>
      </c>
      <c r="D14" s="55" t="n">
        <v>2886.6</v>
      </c>
      <c r="E14" s="55" t="n">
        <v>3112.2</v>
      </c>
      <c r="F14" s="55" t="n">
        <v>3257.1</v>
      </c>
      <c r="G14" s="72" t="n">
        <v>3394.2</v>
      </c>
      <c r="H14" s="55" t="n">
        <v>3545.4</v>
      </c>
    </row>
    <row r="15" customFormat="false" ht="15" hidden="false" customHeight="true" outlineLevel="0" collapsed="false">
      <c r="A15" s="42" t="s">
        <v>337</v>
      </c>
      <c r="B15" s="55" t="n">
        <v>1303.2</v>
      </c>
      <c r="C15" s="55" t="n">
        <v>1344.3</v>
      </c>
      <c r="D15" s="55" t="n">
        <v>1443.3</v>
      </c>
      <c r="E15" s="55" t="n">
        <v>1556.1</v>
      </c>
      <c r="F15" s="55" t="n">
        <v>1628.55</v>
      </c>
      <c r="G15" s="72" t="n">
        <v>1697.1</v>
      </c>
      <c r="H15" s="55" t="n">
        <v>1772.7</v>
      </c>
    </row>
    <row r="16" customFormat="false" ht="15" hidden="false" customHeight="true" outlineLevel="0" collapsed="false">
      <c r="A16" s="42" t="s">
        <v>338</v>
      </c>
      <c r="B16" s="55" t="n">
        <v>1303.2</v>
      </c>
      <c r="C16" s="55" t="n">
        <v>1344.3</v>
      </c>
      <c r="D16" s="55" t="n">
        <v>1443.3</v>
      </c>
      <c r="E16" s="55" t="n">
        <v>1556.1</v>
      </c>
      <c r="F16" s="55" t="n">
        <v>1628.55</v>
      </c>
      <c r="G16" s="72" t="n">
        <v>1697.1</v>
      </c>
      <c r="H16" s="55" t="n">
        <v>1772.7</v>
      </c>
    </row>
    <row r="17" customFormat="false" ht="15" hidden="false" customHeight="true" outlineLevel="0" collapsed="false">
      <c r="A17" s="42" t="s">
        <v>339</v>
      </c>
      <c r="B17" s="55" t="n">
        <v>86.88</v>
      </c>
      <c r="C17" s="55" t="n">
        <v>89.62</v>
      </c>
      <c r="D17" s="55" t="n">
        <v>96.22</v>
      </c>
      <c r="E17" s="55" t="n">
        <v>103.74</v>
      </c>
      <c r="F17" s="55" t="n">
        <v>108.57</v>
      </c>
      <c r="G17" s="72" t="n">
        <v>113.14</v>
      </c>
      <c r="H17" s="55" t="n">
        <v>118.18</v>
      </c>
    </row>
    <row r="19" customFormat="false" ht="15" hidden="false" customHeight="true" outlineLevel="0" collapsed="false">
      <c r="A19" s="73" t="s">
        <v>340</v>
      </c>
      <c r="B19" s="73"/>
      <c r="C19" s="73"/>
      <c r="D19" s="73"/>
      <c r="E19" s="73"/>
      <c r="F19" s="73"/>
      <c r="G19" s="73"/>
      <c r="H19" s="73"/>
    </row>
    <row r="20" customFormat="false" ht="15" hidden="false" customHeight="true" outlineLevel="0" collapsed="false">
      <c r="A20" s="71" t="s">
        <v>341</v>
      </c>
      <c r="B20" s="55" t="n">
        <v>7819.2</v>
      </c>
      <c r="C20" s="55" t="n">
        <v>8065.8</v>
      </c>
      <c r="D20" s="55" t="n">
        <v>8659.8</v>
      </c>
      <c r="E20" s="55" t="n">
        <v>9336.6</v>
      </c>
      <c r="F20" s="55" t="n">
        <v>9771.3</v>
      </c>
      <c r="G20" s="72" t="n">
        <v>10182.6</v>
      </c>
      <c r="H20" s="55" t="n">
        <v>10636.2</v>
      </c>
    </row>
    <row r="21" customFormat="false" ht="15" hidden="false" customHeight="true" outlineLevel="0" collapsed="false">
      <c r="A21" s="7" t="s">
        <v>342</v>
      </c>
      <c r="B21" s="7"/>
      <c r="C21" s="7"/>
      <c r="D21" s="7"/>
      <c r="E21" s="7"/>
      <c r="F21" s="7"/>
      <c r="G21" s="7"/>
      <c r="H21" s="7"/>
    </row>
    <row r="22" customFormat="false" ht="15" hidden="false" customHeight="true" outlineLevel="0" collapsed="false">
      <c r="A22" s="42" t="s">
        <v>343</v>
      </c>
      <c r="B22" s="55" t="n">
        <v>39096</v>
      </c>
      <c r="C22" s="55" t="n">
        <v>40329</v>
      </c>
      <c r="D22" s="55" t="n">
        <v>43299</v>
      </c>
      <c r="E22" s="55" t="n">
        <v>46683</v>
      </c>
      <c r="F22" s="55" t="n">
        <v>48856.5</v>
      </c>
      <c r="G22" s="72" t="n">
        <v>50913</v>
      </c>
      <c r="H22" s="55" t="n">
        <v>53181</v>
      </c>
    </row>
    <row r="23" customFormat="false" ht="15" hidden="false" customHeight="true" outlineLevel="0" collapsed="false">
      <c r="A23" s="42" t="s">
        <v>344</v>
      </c>
      <c r="B23" s="55" t="n">
        <v>78192</v>
      </c>
      <c r="C23" s="55" t="n">
        <v>80658</v>
      </c>
      <c r="D23" s="55" t="n">
        <v>86598</v>
      </c>
      <c r="E23" s="55" t="n">
        <v>93366</v>
      </c>
      <c r="F23" s="55" t="n">
        <v>97713</v>
      </c>
      <c r="G23" s="72" t="n">
        <v>101826</v>
      </c>
      <c r="H23" s="55" t="n">
        <v>106362</v>
      </c>
    </row>
    <row r="24" customFormat="false" ht="15" hidden="false" customHeight="true" outlineLevel="0" collapsed="false">
      <c r="A24" s="42" t="s">
        <v>345</v>
      </c>
      <c r="B24" s="55" t="n">
        <v>156384</v>
      </c>
      <c r="C24" s="55" t="n">
        <v>161316</v>
      </c>
      <c r="D24" s="55" t="n">
        <v>173196</v>
      </c>
      <c r="E24" s="55" t="n">
        <v>186732</v>
      </c>
      <c r="F24" s="55" t="n">
        <v>195426</v>
      </c>
      <c r="G24" s="72" t="n">
        <v>203652</v>
      </c>
      <c r="H24" s="55" t="n">
        <v>212724</v>
      </c>
    </row>
    <row r="25" customFormat="false" ht="15" hidden="false" customHeight="true" outlineLevel="0" collapsed="false">
      <c r="A25" s="42" t="s">
        <v>346</v>
      </c>
      <c r="B25" s="55" t="n">
        <v>234576</v>
      </c>
      <c r="C25" s="55" t="n">
        <v>241974</v>
      </c>
      <c r="D25" s="55" t="n">
        <v>259794</v>
      </c>
      <c r="E25" s="55" t="n">
        <v>280098</v>
      </c>
      <c r="F25" s="55" t="n">
        <v>293139</v>
      </c>
      <c r="G25" s="72" t="n">
        <v>305478</v>
      </c>
      <c r="H25" s="55" t="n">
        <v>319086</v>
      </c>
    </row>
    <row r="27" customFormat="false" ht="15" hidden="false" customHeight="true" outlineLevel="0" collapsed="false">
      <c r="A27" s="73" t="s">
        <v>347</v>
      </c>
      <c r="B27" s="73"/>
      <c r="C27" s="73"/>
      <c r="D27" s="73"/>
      <c r="E27" s="73"/>
      <c r="F27" s="73"/>
      <c r="G27" s="73"/>
      <c r="H27" s="73"/>
    </row>
    <row r="28" customFormat="false" ht="15" hidden="false" customHeight="true" outlineLevel="0" collapsed="false">
      <c r="A28" s="71" t="s">
        <v>348</v>
      </c>
      <c r="B28" s="55" t="n">
        <v>221856.6</v>
      </c>
      <c r="C28" s="55" t="n">
        <v>228853.8</v>
      </c>
      <c r="D28" s="55" t="n">
        <v>245842.1</v>
      </c>
      <c r="E28" s="55" t="n">
        <v>264910.8</v>
      </c>
      <c r="F28" s="55" t="n">
        <v>277244.52</v>
      </c>
      <c r="G28" s="72" t="n">
        <v>288914.64</v>
      </c>
      <c r="H28" s="55" t="n">
        <v>301781.9</v>
      </c>
    </row>
    <row r="29" customFormat="false" ht="15" hidden="false" customHeight="true" outlineLevel="0" collapsed="false">
      <c r="A29" s="42" t="s">
        <v>349</v>
      </c>
      <c r="B29" s="55" t="n">
        <v>31693.8</v>
      </c>
      <c r="C29" s="55" t="n">
        <v>32693.4</v>
      </c>
      <c r="D29" s="55" t="n">
        <v>35120.3</v>
      </c>
      <c r="E29" s="55" t="n">
        <v>37844.4</v>
      </c>
      <c r="F29" s="55" t="n">
        <v>39606.36</v>
      </c>
      <c r="G29" s="72" t="n">
        <v>41273.52</v>
      </c>
      <c r="H29" s="55" t="n">
        <v>43111.7</v>
      </c>
    </row>
    <row r="30" customFormat="false" ht="27.75" hidden="false" customHeight="true" outlineLevel="0" collapsed="false">
      <c r="A30" s="7" t="s">
        <v>350</v>
      </c>
      <c r="B30" s="7"/>
      <c r="C30" s="7"/>
      <c r="D30" s="7"/>
      <c r="E30" s="7"/>
      <c r="F30" s="7"/>
      <c r="G30" s="7"/>
      <c r="H30" s="7"/>
    </row>
    <row r="32" customFormat="false" ht="15" hidden="false" customHeight="true" outlineLevel="0" collapsed="false">
      <c r="A32" s="73" t="s">
        <v>351</v>
      </c>
      <c r="B32" s="73"/>
      <c r="C32" s="73"/>
      <c r="D32" s="73"/>
      <c r="E32" s="73"/>
      <c r="F32" s="73"/>
      <c r="G32" s="73"/>
      <c r="H32" s="73"/>
    </row>
    <row r="33" customFormat="false" ht="15" hidden="false" customHeight="true" outlineLevel="0" collapsed="false">
      <c r="A33" s="42" t="s">
        <v>352</v>
      </c>
      <c r="B33" s="55" t="n">
        <v>369.66</v>
      </c>
      <c r="C33" s="55" t="n">
        <v>425.1</v>
      </c>
      <c r="D33" s="55" t="n">
        <v>518.61</v>
      </c>
      <c r="E33" s="55" t="n">
        <v>622.32</v>
      </c>
      <c r="F33" s="55" t="n">
        <v>746.79</v>
      </c>
      <c r="G33" s="72" t="n">
        <v>836.4</v>
      </c>
      <c r="H33" s="55" t="n">
        <v>945.12</v>
      </c>
    </row>
    <row r="34" customFormat="false" ht="27.75" hidden="false" customHeight="true" outlineLevel="0" collapsed="false">
      <c r="A34" s="7" t="s">
        <v>353</v>
      </c>
      <c r="B34" s="7"/>
      <c r="C34" s="7"/>
      <c r="D34" s="7"/>
      <c r="E34" s="7"/>
      <c r="F34" s="7"/>
      <c r="G34" s="7"/>
      <c r="H34" s="7"/>
    </row>
    <row r="36" customFormat="false" ht="21.75" hidden="false" customHeight="true" outlineLevel="0" collapsed="false">
      <c r="A36" s="65" t="s">
        <v>354</v>
      </c>
      <c r="B36" s="65"/>
      <c r="C36" s="65"/>
      <c r="D36" s="65"/>
      <c r="E36" s="65"/>
      <c r="F36" s="65"/>
      <c r="G36" s="65"/>
      <c r="H36" s="65"/>
    </row>
    <row r="37" customFormat="false" ht="15" hidden="false" customHeight="true" outlineLevel="0" collapsed="false">
      <c r="A37" s="71" t="s">
        <v>355</v>
      </c>
      <c r="B37" s="55" t="n">
        <v>158469</v>
      </c>
      <c r="C37" s="55" t="n">
        <v>163467</v>
      </c>
      <c r="D37" s="55" t="n">
        <v>175601.5</v>
      </c>
      <c r="E37" s="55" t="n">
        <v>189222</v>
      </c>
      <c r="F37" s="55" t="n">
        <v>198031.8</v>
      </c>
      <c r="G37" s="72" t="n">
        <v>206367.6</v>
      </c>
      <c r="H37" s="55" t="n">
        <v>215558.5</v>
      </c>
    </row>
    <row r="38" customFormat="false" ht="27.75" hidden="false" customHeight="true" outlineLevel="0" collapsed="false">
      <c r="A38" s="7" t="s">
        <v>356</v>
      </c>
      <c r="B38" s="7"/>
      <c r="C38" s="7"/>
      <c r="D38" s="7"/>
      <c r="E38" s="7"/>
      <c r="F38" s="7"/>
      <c r="G38" s="7"/>
      <c r="H38" s="7"/>
    </row>
    <row r="40" customFormat="false" ht="15" hidden="false" customHeight="true" outlineLevel="0" collapsed="false">
      <c r="A40" s="73" t="s">
        <v>357</v>
      </c>
      <c r="B40" s="73"/>
      <c r="C40" s="73"/>
      <c r="D40" s="73"/>
      <c r="E40" s="73"/>
      <c r="F40" s="73"/>
      <c r="G40" s="73"/>
      <c r="H40" s="73"/>
    </row>
    <row r="41" customFormat="false" ht="15" hidden="false" customHeight="true" outlineLevel="0" collapsed="false">
      <c r="A41" s="42" t="s">
        <v>358</v>
      </c>
      <c r="B41" s="55" t="n">
        <v>14200</v>
      </c>
      <c r="C41" s="55" t="n">
        <v>14200</v>
      </c>
      <c r="D41" s="55" t="n">
        <v>14200</v>
      </c>
      <c r="E41" s="55" t="n">
        <v>14200</v>
      </c>
      <c r="F41" s="55" t="n">
        <v>14200</v>
      </c>
      <c r="G41" s="72" t="n">
        <v>14200</v>
      </c>
      <c r="H41" s="55" t="n">
        <v>14200</v>
      </c>
    </row>
    <row r="42" customFormat="false" ht="15" hidden="false" customHeight="true" outlineLevel="0" collapsed="false">
      <c r="A42" s="42" t="s">
        <v>359</v>
      </c>
      <c r="B42" s="55" t="n">
        <v>12900</v>
      </c>
      <c r="C42" s="55" t="n">
        <v>12900</v>
      </c>
      <c r="D42" s="55" t="n">
        <v>12900</v>
      </c>
      <c r="E42" s="55" t="n">
        <v>12900</v>
      </c>
      <c r="F42" s="55" t="n">
        <v>12900</v>
      </c>
      <c r="G42" s="72" t="n">
        <v>12900</v>
      </c>
      <c r="H42" s="55" t="n">
        <v>12900</v>
      </c>
    </row>
    <row r="43" customFormat="false" ht="15" hidden="false" customHeight="true" outlineLevel="0" collapsed="false">
      <c r="A43" s="42" t="s">
        <v>360</v>
      </c>
      <c r="B43" s="55" t="n">
        <v>19900</v>
      </c>
      <c r="C43" s="55" t="n">
        <v>19900</v>
      </c>
      <c r="D43" s="55" t="n">
        <v>19900</v>
      </c>
      <c r="E43" s="55" t="n">
        <v>19900</v>
      </c>
      <c r="F43" s="55" t="n">
        <v>19900</v>
      </c>
      <c r="G43" s="72" t="n">
        <v>19900</v>
      </c>
      <c r="H43" s="55" t="n">
        <v>19900</v>
      </c>
    </row>
    <row r="44" customFormat="false" ht="15" hidden="false" customHeight="true" outlineLevel="0" collapsed="false">
      <c r="A44" s="42" t="s">
        <v>361</v>
      </c>
      <c r="B44" s="55" t="n">
        <v>17100</v>
      </c>
      <c r="C44" s="55" t="n">
        <v>17100</v>
      </c>
      <c r="D44" s="55" t="n">
        <v>17100</v>
      </c>
      <c r="E44" s="55" t="n">
        <v>17100</v>
      </c>
      <c r="F44" s="55" t="n">
        <v>17100</v>
      </c>
      <c r="G44" s="72" t="n">
        <v>17100</v>
      </c>
      <c r="H44" s="55" t="n">
        <v>17100</v>
      </c>
    </row>
    <row r="45" customFormat="false" ht="15" hidden="false" customHeight="true" outlineLevel="0" collapsed="false">
      <c r="A45" s="42" t="s">
        <v>362</v>
      </c>
      <c r="B45" s="55" t="n">
        <v>24500</v>
      </c>
      <c r="C45" s="55" t="n">
        <v>24500</v>
      </c>
      <c r="D45" s="55" t="n">
        <v>24500</v>
      </c>
      <c r="E45" s="55" t="n">
        <v>24500</v>
      </c>
      <c r="F45" s="55" t="n">
        <v>24500</v>
      </c>
      <c r="G45" s="72" t="n">
        <v>24500</v>
      </c>
      <c r="H45" s="55" t="n">
        <v>24500</v>
      </c>
    </row>
    <row r="46" customFormat="false" ht="27.75" hidden="false" customHeight="true" outlineLevel="0" collapsed="false">
      <c r="A46" s="7" t="s">
        <v>363</v>
      </c>
      <c r="B46" s="7"/>
      <c r="C46" s="7"/>
      <c r="D46" s="7"/>
      <c r="E46" s="7"/>
      <c r="F46" s="7"/>
      <c r="G46" s="7"/>
      <c r="H46" s="7"/>
    </row>
    <row r="48" customFormat="false" ht="21.75" hidden="false" customHeight="true" outlineLevel="0" collapsed="false">
      <c r="A48" s="7" t="s">
        <v>364</v>
      </c>
      <c r="B48" s="7"/>
      <c r="C48" s="7"/>
      <c r="D48" s="7"/>
      <c r="E48" s="7"/>
      <c r="F48" s="7"/>
      <c r="G48" s="7"/>
      <c r="H48" s="7"/>
    </row>
    <row r="50" customFormat="false" ht="21.75" hidden="false" customHeight="true" outlineLevel="0" collapsed="false">
      <c r="A50" s="65" t="s">
        <v>365</v>
      </c>
      <c r="B50" s="65"/>
      <c r="C50" s="65"/>
      <c r="D50" s="65"/>
      <c r="E50" s="65"/>
      <c r="F50" s="65"/>
      <c r="G50" s="65"/>
      <c r="H50" s="65"/>
    </row>
    <row r="51" customFormat="false" ht="15" hidden="false" customHeight="true" outlineLevel="0" collapsed="false">
      <c r="A51" s="74" t="s">
        <v>366</v>
      </c>
      <c r="B51" s="75" t="n">
        <v>41273.52</v>
      </c>
    </row>
    <row r="52" customFormat="false" ht="15" hidden="false" customHeight="true" outlineLevel="0" collapsed="false">
      <c r="A52" s="74" t="s">
        <v>367</v>
      </c>
      <c r="B52" s="75" t="n">
        <v>206367.6</v>
      </c>
    </row>
    <row r="54" customFormat="false" ht="21.75" hidden="false" customHeight="true" outlineLevel="0" collapsed="false">
      <c r="A54" s="76" t="s">
        <v>368</v>
      </c>
      <c r="B54" s="76"/>
      <c r="D54" s="76" t="s">
        <v>369</v>
      </c>
      <c r="E54" s="76"/>
    </row>
    <row r="55" customFormat="false" ht="15" hidden="false" customHeight="true" outlineLevel="0" collapsed="false">
      <c r="A55" s="74" t="s">
        <v>370</v>
      </c>
      <c r="B55" s="77" t="n">
        <v>0</v>
      </c>
      <c r="D55" s="74" t="s">
        <v>371</v>
      </c>
      <c r="E55" s="75" t="n">
        <v>3394.2</v>
      </c>
    </row>
    <row r="56" customFormat="false" ht="27.75" hidden="false" customHeight="true" outlineLevel="0" collapsed="false">
      <c r="A56" s="74" t="s">
        <v>372</v>
      </c>
      <c r="B56" s="75" t="n">
        <f aca="false">B55*0.13*12</f>
        <v>0</v>
      </c>
      <c r="D56" s="7" t="s">
        <v>373</v>
      </c>
      <c r="E56" s="7"/>
    </row>
    <row r="57" customFormat="false" ht="15" hidden="false" customHeight="true" outlineLevel="0" collapsed="false">
      <c r="A57" s="74" t="s">
        <v>374</v>
      </c>
      <c r="B57" s="75" t="n">
        <v>53655.576</v>
      </c>
    </row>
    <row r="58" customFormat="false" ht="15" hidden="false" customHeight="true" outlineLevel="0" collapsed="false">
      <c r="A58" s="74" t="s">
        <v>375</v>
      </c>
      <c r="B58" s="75" t="n">
        <f aca="false">MAX(0,B56-B57)</f>
        <v>0</v>
      </c>
    </row>
    <row r="59" customFormat="false" ht="15" hidden="false" customHeight="true" outlineLevel="0" collapsed="false">
      <c r="A59" s="74" t="s">
        <v>376</v>
      </c>
      <c r="B59" s="78" t="str">
        <f aca="false">IF(B58=0,"SÍ","NO")</f>
        <v>SÍ</v>
      </c>
    </row>
    <row r="60" customFormat="false" ht="15" hidden="false" customHeight="true" outlineLevel="0" collapsed="false">
      <c r="A60" s="74" t="s">
        <v>377</v>
      </c>
      <c r="B60" s="75" t="n">
        <f aca="false">B58*0.3</f>
        <v>0</v>
      </c>
    </row>
    <row r="62" customFormat="false" ht="21.75" hidden="false" customHeight="true" outlineLevel="0" collapsed="false">
      <c r="A62" s="76" t="s">
        <v>378</v>
      </c>
      <c r="B62" s="76"/>
      <c r="D62" s="76" t="s">
        <v>379</v>
      </c>
      <c r="E62" s="76"/>
    </row>
    <row r="63" customFormat="false" ht="15" hidden="false" customHeight="true" outlineLevel="0" collapsed="false">
      <c r="A63" s="74" t="s">
        <v>380</v>
      </c>
      <c r="B63" s="75" t="n">
        <f aca="false">CONCENTRADO!Z61</f>
        <v>376689.15</v>
      </c>
      <c r="D63" s="74" t="s">
        <v>381</v>
      </c>
      <c r="E63" s="75" t="n">
        <v>14200</v>
      </c>
    </row>
    <row r="64" customFormat="false" ht="15" hidden="false" customHeight="true" outlineLevel="0" collapsed="false">
      <c r="A64" s="74" t="s">
        <v>382</v>
      </c>
      <c r="B64" s="75" t="n">
        <f aca="false">CONCENTRADO!AH61</f>
        <v>200739</v>
      </c>
      <c r="D64" s="74" t="s">
        <v>383</v>
      </c>
      <c r="E64" s="75" t="n">
        <v>12900</v>
      </c>
    </row>
    <row r="65" customFormat="false" ht="15" hidden="false" customHeight="true" outlineLevel="0" collapsed="false">
      <c r="A65" s="74" t="s">
        <v>384</v>
      </c>
      <c r="B65" s="75" t="n">
        <f aca="false">INTERESES!B18</f>
        <v>3798.62</v>
      </c>
      <c r="D65" s="74" t="s">
        <v>385</v>
      </c>
      <c r="E65" s="75" t="n">
        <v>19900</v>
      </c>
    </row>
    <row r="66" customFormat="false" ht="15" hidden="false" customHeight="true" outlineLevel="0" collapsed="false">
      <c r="A66" s="74" t="s">
        <v>386</v>
      </c>
      <c r="B66" s="75" t="n">
        <f aca="false">B63+B64+B65</f>
        <v>581226.77</v>
      </c>
      <c r="D66" s="74" t="s">
        <v>387</v>
      </c>
      <c r="E66" s="75" t="n">
        <v>17100</v>
      </c>
    </row>
    <row r="68" customFormat="false" ht="15" hidden="false" customHeight="true" outlineLevel="0" collapsed="false">
      <c r="A68" s="74" t="s">
        <v>388</v>
      </c>
      <c r="B68" s="75" t="n">
        <f aca="false">B66*0.15</f>
        <v>87184.0155</v>
      </c>
      <c r="D68" s="74" t="s">
        <v>389</v>
      </c>
      <c r="E68" s="75" t="n">
        <v>24500</v>
      </c>
    </row>
    <row r="69" customFormat="false" ht="15" hidden="false" customHeight="true" outlineLevel="0" collapsed="false">
      <c r="A69" s="74" t="s">
        <v>390</v>
      </c>
      <c r="B69" s="75" t="n">
        <f aca="false">113.14*365*5</f>
        <v>206480.5</v>
      </c>
    </row>
    <row r="70" customFormat="false" ht="15" hidden="false" customHeight="true" outlineLevel="0" collapsed="false">
      <c r="A70" s="74" t="s">
        <v>391</v>
      </c>
      <c r="B70" s="75" t="n">
        <f aca="false">MIN(B68,B69)</f>
        <v>87184.0155</v>
      </c>
    </row>
    <row r="71" customFormat="false" ht="15" hidden="false" customHeight="true" outlineLevel="0" collapsed="false">
      <c r="A71" s="74" t="s">
        <v>392</v>
      </c>
      <c r="B71" s="75" t="str">
        <f aca="false">IF(B68&lt;B69,"15% ingresos","5 UMAs")</f>
        <v>15% ingresos</v>
      </c>
    </row>
    <row r="72" customFormat="false" ht="15" hidden="false" customHeight="true" outlineLevel="0" collapsed="false">
      <c r="A72" s="74" t="s">
        <v>393</v>
      </c>
      <c r="B72" s="77" t="n">
        <v>0</v>
      </c>
    </row>
    <row r="73" customFormat="false" ht="42" hidden="false" customHeight="true" outlineLevel="0" collapsed="false">
      <c r="A73" s="7" t="s">
        <v>394</v>
      </c>
      <c r="B73" s="7"/>
      <c r="C73" s="7"/>
      <c r="D73" s="7"/>
      <c r="E73" s="7"/>
    </row>
    <row r="75" customFormat="false" ht="21.75" hidden="false" customHeight="true" outlineLevel="0" collapsed="false">
      <c r="A75" s="76" t="s">
        <v>395</v>
      </c>
      <c r="B75" s="76"/>
      <c r="C75" s="76"/>
      <c r="D75" s="76"/>
      <c r="E75" s="76"/>
    </row>
    <row r="76" customFormat="false" ht="15" hidden="false" customHeight="true" outlineLevel="0" collapsed="false">
      <c r="A76" s="74" t="s">
        <v>396</v>
      </c>
      <c r="B76" s="77" t="s">
        <v>358</v>
      </c>
    </row>
    <row r="77" customFormat="false" ht="15" hidden="false" customHeight="true" outlineLevel="0" collapsed="false">
      <c r="A77" s="74" t="s">
        <v>397</v>
      </c>
      <c r="B77" s="77" t="n">
        <v>0</v>
      </c>
    </row>
    <row r="78" customFormat="false" ht="15" hidden="false" customHeight="true" outlineLevel="0" collapsed="false">
      <c r="A78" s="74" t="s">
        <v>398</v>
      </c>
      <c r="B78" s="75" t="n">
        <f aca="false" t="array" ref="B78:B78">IFERROR(_xlfn.SWITCH(B76,"Preescolar",14200,"Primaria",12900,"Secundaria",19900,"Profesional técnico",17100,"Bachillerato",24500,0),0)</f>
        <v>14200</v>
      </c>
    </row>
    <row r="79" customFormat="false" ht="15" hidden="false" customHeight="true" outlineLevel="0" collapsed="false">
      <c r="A79" s="74" t="s">
        <v>376</v>
      </c>
      <c r="B79" s="78" t="str">
        <f aca="false">IF(B77&lt;=B78,"SÍ","NO")</f>
        <v>SÍ</v>
      </c>
    </row>
    <row r="81" customFormat="false" ht="27.75" hidden="false" customHeight="true" outlineLevel="0" collapsed="false">
      <c r="A81" s="7" t="s">
        <v>399</v>
      </c>
      <c r="B81" s="7"/>
      <c r="C81" s="7"/>
      <c r="D81" s="7"/>
      <c r="E81" s="7"/>
    </row>
  </sheetData>
  <mergeCells count="25">
    <mergeCell ref="A1:H1"/>
    <mergeCell ref="A3:H3"/>
    <mergeCell ref="A8:H8"/>
    <mergeCell ref="A12:H12"/>
    <mergeCell ref="A13:H13"/>
    <mergeCell ref="A19:H19"/>
    <mergeCell ref="A21:H21"/>
    <mergeCell ref="A27:H27"/>
    <mergeCell ref="A30:H30"/>
    <mergeCell ref="A32:H32"/>
    <mergeCell ref="A34:H34"/>
    <mergeCell ref="A36:H36"/>
    <mergeCell ref="A38:H38"/>
    <mergeCell ref="A40:H40"/>
    <mergeCell ref="A46:H46"/>
    <mergeCell ref="A48:H48"/>
    <mergeCell ref="A50:H50"/>
    <mergeCell ref="A54:B54"/>
    <mergeCell ref="D54:E54"/>
    <mergeCell ref="D56:E56"/>
    <mergeCell ref="A62:B62"/>
    <mergeCell ref="D62:E62"/>
    <mergeCell ref="A73:E73"/>
    <mergeCell ref="A75:E75"/>
    <mergeCell ref="A81:E81"/>
  </mergeCells>
  <dataValidations count="1">
    <dataValidation allowBlank="true" errorStyle="stop" operator="between" showDropDown="false" showErrorMessage="true" showInputMessage="true" sqref="B76" type="list">
      <formula1>"Preescolar,Primaria,Secundaria,Profesional técnico,Bachillerato"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2026-04-29T06:47:48Z</dcterms:created>
  <dc:creator>openpyxl</dc:creator>
  <dc:description/>
  <dc:language>en-US</dc:language>
  <cp:lastModifiedBy/>
  <dcterms:modified xsi:type="dcterms:W3CDTF">2026-04-29T06:59:05Z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